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UWW referees" sheetId="1" r:id="rId1"/>
  </sheets>
  <calcPr calcId="124519" fullCalcOnLoad="1"/>
</workbook>
</file>

<file path=xl/sharedStrings.xml><?xml version="1.0" encoding="utf-8"?>
<sst xmlns="http://schemas.openxmlformats.org/spreadsheetml/2006/main" count="6659" uniqueCount="2691">
  <si>
    <t>id_number</t>
  </si>
  <si>
    <t>name</t>
  </si>
  <si>
    <t>sex</t>
  </si>
  <si>
    <t>country</t>
  </si>
  <si>
    <t>category</t>
  </si>
  <si>
    <t>birthdate</t>
  </si>
  <si>
    <t>is_active</t>
  </si>
  <si>
    <t>photo</t>
  </si>
  <si>
    <t>athena</t>
  </si>
  <si>
    <t>SILVESTRI Antonio</t>
  </si>
  <si>
    <t>BOUAZIZ Mohamed Kamel</t>
  </si>
  <si>
    <t>CICIOGLU Halil Ibrahim</t>
  </si>
  <si>
    <t>BALLIU Oltjon</t>
  </si>
  <si>
    <t>LILA Orges</t>
  </si>
  <si>
    <t>LLANAJ Tedi</t>
  </si>
  <si>
    <t>NAANAA Yacine</t>
  </si>
  <si>
    <t>TRAI Belkacem</t>
  </si>
  <si>
    <t>BOUTEMTAM Djamal</t>
  </si>
  <si>
    <t>FAKIR Noureddine</t>
  </si>
  <si>
    <t>SAHRAOUI Mohamed</t>
  </si>
  <si>
    <t>BOUFATIT Sami</t>
  </si>
  <si>
    <t>MEGUELLATI Adel</t>
  </si>
  <si>
    <t>MERDACI Fawzi</t>
  </si>
  <si>
    <t>NAANAA Mohamed Cherif</t>
  </si>
  <si>
    <t>YADOUN Kheira</t>
  </si>
  <si>
    <t>KHABABA Djamal</t>
  </si>
  <si>
    <t>MESSAOUDI Ammar</t>
  </si>
  <si>
    <t>NOUIGA Nadjim</t>
  </si>
  <si>
    <t>TRAI Mohamed Ali</t>
  </si>
  <si>
    <t>D´ALESSANDRO Ignacio</t>
  </si>
  <si>
    <t>LIMA Tadeo</t>
  </si>
  <si>
    <t>ARAOZ Alejandra Del Valle</t>
  </si>
  <si>
    <t>BAZAN Ezequiel Emmanuel</t>
  </si>
  <si>
    <t>FISZMAN Gustavo</t>
  </si>
  <si>
    <t>REPETTO Ivan Atila Jose</t>
  </si>
  <si>
    <t>DOLATKHAH Ali</t>
  </si>
  <si>
    <t>SAHAKYAN Gurgen</t>
  </si>
  <si>
    <t>VARDANYAN Albert</t>
  </si>
  <si>
    <t>VARDANYAN Avetik</t>
  </si>
  <si>
    <t>ABGARYAN Gor</t>
  </si>
  <si>
    <t>STEPANYAN Davit</t>
  </si>
  <si>
    <t>RUDEVICS Stefan</t>
  </si>
  <si>
    <t>FLATMAN BATEMAN Taylor Maree</t>
  </si>
  <si>
    <t>SAHA Anirudha</t>
  </si>
  <si>
    <t>FEDOSEEV William</t>
  </si>
  <si>
    <t>ABBASZADEH M Sadegh Sam</t>
  </si>
  <si>
    <t>ABDELSATTAR Mohamed Mohamed Ibrahim</t>
  </si>
  <si>
    <t>BRODAHL Ina Sofie Viktoria Strugstad</t>
  </si>
  <si>
    <t>JAEGGI Stephan Alexander Isaac</t>
  </si>
  <si>
    <t>KUMAR Vinod</t>
  </si>
  <si>
    <t>MASSEY Luke Daniel</t>
  </si>
  <si>
    <t>ZASLAVSKY Leonid</t>
  </si>
  <si>
    <t>REINER Karl-Heinz</t>
  </si>
  <si>
    <t>LINS Stefan</t>
  </si>
  <si>
    <t>STRASSBAUER Sebastian</t>
  </si>
  <si>
    <t>BIERMANN Detlef</t>
  </si>
  <si>
    <t>BRUCKMEIER Manuel</t>
  </si>
  <si>
    <t>MARTE Johannes</t>
  </si>
  <si>
    <t>GULIYEV Sadi</t>
  </si>
  <si>
    <t>ISAZADE Bashir</t>
  </si>
  <si>
    <t>SHIRALIYEV Asif</t>
  </si>
  <si>
    <t>ALIYEV Kamran</t>
  </si>
  <si>
    <t>ALIYEV Tural</t>
  </si>
  <si>
    <t>BABAYEV Ali</t>
  </si>
  <si>
    <t>BAYRAMOV Eldar</t>
  </si>
  <si>
    <t>ISMAYILOV Elman</t>
  </si>
  <si>
    <t>NURULU Habib</t>
  </si>
  <si>
    <t>SHARIFOV Zaur</t>
  </si>
  <si>
    <t>SHUKUROV Vugar</t>
  </si>
  <si>
    <t>ALIYEV Intigam</t>
  </si>
  <si>
    <t>ALIYEV Khayal</t>
  </si>
  <si>
    <t>ALLAHVERDIYEV Khazar</t>
  </si>
  <si>
    <t>BAKHISHOV Kamran</t>
  </si>
  <si>
    <t>HAJIALIYEV Kanan</t>
  </si>
  <si>
    <t>MAMMADOV Eldar</t>
  </si>
  <si>
    <t>MAMMADOV Elgun</t>
  </si>
  <si>
    <t>YUSIBOVA Sevinj</t>
  </si>
  <si>
    <t>ALLAHVERDIYEV Babak</t>
  </si>
  <si>
    <t>FATTAYEV Samil</t>
  </si>
  <si>
    <t>GURBANOV Gadim</t>
  </si>
  <si>
    <t>HAJIYEV Samir</t>
  </si>
  <si>
    <t>HAMIDZADE Elkhan</t>
  </si>
  <si>
    <t>MAMMADLI Akbar</t>
  </si>
  <si>
    <t>SAHEB BEHBAHANI Arian</t>
  </si>
  <si>
    <t>ARODZ Yauhen</t>
  </si>
  <si>
    <t>BREL Ihar</t>
  </si>
  <si>
    <t>SIULZHYN Valiantsin</t>
  </si>
  <si>
    <t>TSYLENTS Valery</t>
  </si>
  <si>
    <t>ANOSHKA Siarhei</t>
  </si>
  <si>
    <t>BATURA Mikalai</t>
  </si>
  <si>
    <t>BAYARCHUK Ihar</t>
  </si>
  <si>
    <t>BELIAKOUSKI Aliaksandr</t>
  </si>
  <si>
    <t>PILETSKI Siarhei</t>
  </si>
  <si>
    <t>KAREIVA Siarhei</t>
  </si>
  <si>
    <t>VARYVODA Aliaksandr</t>
  </si>
  <si>
    <t>CHAVEZ CLAROS Dalinda</t>
  </si>
  <si>
    <t>ROCA BRUNO Carlos</t>
  </si>
  <si>
    <t>GONCALVES Eduardo</t>
  </si>
  <si>
    <t>SABRINA LUCAS DA SILVA Gisele</t>
  </si>
  <si>
    <t>SILVA DE SANTANA Karoline</t>
  </si>
  <si>
    <t>WILDT CAVALCANTE Nadja Karoline</t>
  </si>
  <si>
    <t>FELIX VICENTE  DA SILVA Erick</t>
  </si>
  <si>
    <t>MACHADO PAZ Sophia</t>
  </si>
  <si>
    <t>PIEDADE DE BRITO Davi</t>
  </si>
  <si>
    <t>SOUSA NASCIMENTO Vinicius</t>
  </si>
  <si>
    <t>CHIFUDOV Dimitar Binev</t>
  </si>
  <si>
    <t>FILCHEV Ventsislav Stoyanov</t>
  </si>
  <si>
    <t>KIREZIEV Nedyalko Kirov</t>
  </si>
  <si>
    <t>VASEVA Elina Lyubchova</t>
  </si>
  <si>
    <t>DIMITROV Ivan Lambov</t>
  </si>
  <si>
    <t>DOYNOV Petar Hristov</t>
  </si>
  <si>
    <t>GOCHEV Miroslav</t>
  </si>
  <si>
    <t>GROZDANOVA Karolina Valerieva</t>
  </si>
  <si>
    <t>IVANOV Milen Stefanov</t>
  </si>
  <si>
    <t>MANOLOV Filip Filipov</t>
  </si>
  <si>
    <t>NIKOLOV Nikola Ivaylov</t>
  </si>
  <si>
    <t>PETROV Angel Petrov</t>
  </si>
  <si>
    <t>GOCHEV Angel Miroslavov</t>
  </si>
  <si>
    <t>IVANOV Hristo Ivaylov</t>
  </si>
  <si>
    <t>NIKOLOV Ivan Veselinov</t>
  </si>
  <si>
    <t>SAHATCHIEV Vasvi Asanov</t>
  </si>
  <si>
    <t>SMILENOV Konstantin Petkov</t>
  </si>
  <si>
    <t>SREDKOV Georgi Atanasov</t>
  </si>
  <si>
    <t>VRAZHEV Antonio Toshkov</t>
  </si>
  <si>
    <t>YOTKOVSKA Hristina Hristova</t>
  </si>
  <si>
    <t>ZGRIPAROV Antoan Todorov</t>
  </si>
  <si>
    <t>HAMID Deniz Muzaffer</t>
  </si>
  <si>
    <t>HRISTOV Hristo Enchev</t>
  </si>
  <si>
    <t>KASHINOVA Aleksandrina Nikolaeva</t>
  </si>
  <si>
    <t>NEDEV Stoyko Atanasov</t>
  </si>
  <si>
    <t>TODOROV Teodosi Dimitrov</t>
  </si>
  <si>
    <t>TOMOV Asparuh Georgiev</t>
  </si>
  <si>
    <t>YOTOV Ivo Ivanov</t>
  </si>
  <si>
    <t>NUTH Sereyratha</t>
  </si>
  <si>
    <t>CHIASSON Marcia</t>
  </si>
  <si>
    <t>BIRD Gary</t>
  </si>
  <si>
    <t>KOUTSOPODIOTIS-GAUTHIER Demetra</t>
  </si>
  <si>
    <t>LEUNG Curtis</t>
  </si>
  <si>
    <t>ZINGER Edward Martin</t>
  </si>
  <si>
    <t>BAXTER Adam Andrew</t>
  </si>
  <si>
    <t>CHAN Carl</t>
  </si>
  <si>
    <t>DROUGHT Michael</t>
  </si>
  <si>
    <t>FALCONER Christopher</t>
  </si>
  <si>
    <t>FLINDERS Jason</t>
  </si>
  <si>
    <t>FORSBERG Ryan</t>
  </si>
  <si>
    <t>KEOMANY Bobby</t>
  </si>
  <si>
    <t>KRAHN John</t>
  </si>
  <si>
    <t>LAVERTU Justin Robert William</t>
  </si>
  <si>
    <t>MOHAMMADIAN Abbas</t>
  </si>
  <si>
    <t>ROBERTON-OWEN Stephanie</t>
  </si>
  <si>
    <t>THOKLE Lenis</t>
  </si>
  <si>
    <t>WARREN Candice Christine</t>
  </si>
  <si>
    <t>YEE Joseph</t>
  </si>
  <si>
    <t>DIMITROPOULOS Alexander Nickolas</t>
  </si>
  <si>
    <t>HASSAN Riad</t>
  </si>
  <si>
    <t>LAVERTU Bradley Peter Joseph</t>
  </si>
  <si>
    <t>PIKE Roger Mark</t>
  </si>
  <si>
    <t>POLAKOFF Nathan Stephen</t>
  </si>
  <si>
    <t>TREMBLAY Shelby Lee</t>
  </si>
  <si>
    <t>GURAL Roman</t>
  </si>
  <si>
    <t>LAUNDERVILLE Luke William</t>
  </si>
  <si>
    <t>STEFFLER Laura Louise</t>
  </si>
  <si>
    <t>WIJNBEEK Richard Jacobus</t>
  </si>
  <si>
    <t>WILLIAMS Dylan Wainsworth</t>
  </si>
  <si>
    <t>MALDONADO ORTEGA Juan Jose</t>
  </si>
  <si>
    <t>JOHNSON Victor</t>
  </si>
  <si>
    <t>GONZALEZ NOVOA Lissette Indira</t>
  </si>
  <si>
    <t>REINO PALMA Juan Ignacio</t>
  </si>
  <si>
    <t>TARIFENO ESCANILLA Jordan Nicolas</t>
  </si>
  <si>
    <t>LI Hai</t>
  </si>
  <si>
    <t>SUN Jian</t>
  </si>
  <si>
    <t>DUAN Lili</t>
  </si>
  <si>
    <t>LAN Jiewen</t>
  </si>
  <si>
    <t>LIU Yuhang</t>
  </si>
  <si>
    <t>WANG Peng</t>
  </si>
  <si>
    <t>XIAO Bo</t>
  </si>
  <si>
    <t>YANG Jin</t>
  </si>
  <si>
    <t>CAI Weixian</t>
  </si>
  <si>
    <t>CAO Zhichao</t>
  </si>
  <si>
    <t>LI Ran</t>
  </si>
  <si>
    <t>WANG Jian</t>
  </si>
  <si>
    <t>WU Juntao</t>
  </si>
  <si>
    <t>YANG Zuying</t>
  </si>
  <si>
    <t>HUANG Guoxi</t>
  </si>
  <si>
    <t>KONG Liang</t>
  </si>
  <si>
    <t>LI Kuan</t>
  </si>
  <si>
    <t>WANG Lumin</t>
  </si>
  <si>
    <t>WANG Xin</t>
  </si>
  <si>
    <t>YANG Senlian</t>
  </si>
  <si>
    <t>ZHAO Weiyu</t>
  </si>
  <si>
    <t>ZHENG Rong</t>
  </si>
  <si>
    <t>BARON SIERRA Julio Cesar</t>
  </si>
  <si>
    <t>BARON SIERRA Jorge</t>
  </si>
  <si>
    <t>GRAJALES RAMIREZ Paula Andrea</t>
  </si>
  <si>
    <t>BETANCUR DAVID Ana Talia</t>
  </si>
  <si>
    <t>ESTARITA MARTINEZ Angie Paola</t>
  </si>
  <si>
    <t>MADRIGAL ALARCON Edgar Fabian</t>
  </si>
  <si>
    <t>OSSA TORRES Christian Camilo</t>
  </si>
  <si>
    <t>PARRA QUINTERO Juan de Dios</t>
  </si>
  <si>
    <t>PRIETO RODRIGUEZ Camilo Eduardo</t>
  </si>
  <si>
    <t>OCIC Zvonko</t>
  </si>
  <si>
    <t>PETRAK Mario</t>
  </si>
  <si>
    <t>MARJANOVIC Matej</t>
  </si>
  <si>
    <t>MICUDA Mirko</t>
  </si>
  <si>
    <t>OSRECKI Dominik</t>
  </si>
  <si>
    <t>PERIC Marko</t>
  </si>
  <si>
    <t>PETAK Sasa</t>
  </si>
  <si>
    <t>BAGARIC Domagoj</t>
  </si>
  <si>
    <t>BAJREKTAREVIC Elvis</t>
  </si>
  <si>
    <t>GRAHOVAC Josip</t>
  </si>
  <si>
    <t>HORVAT Kreso</t>
  </si>
  <si>
    <t>PETRIS Matija</t>
  </si>
  <si>
    <t>SIGUR Robert</t>
  </si>
  <si>
    <t>FILAJDIC Grga</t>
  </si>
  <si>
    <t>GAJIC Ranko</t>
  </si>
  <si>
    <t>MARJANOVIC Mijo</t>
  </si>
  <si>
    <t>FUENTES HERRERA Marvin</t>
  </si>
  <si>
    <t>SOSA NARANJO Junior</t>
  </si>
  <si>
    <t>ESCALONA Fernando</t>
  </si>
  <si>
    <t>SCHEINER Vaclav</t>
  </si>
  <si>
    <t>SKALICKY Petr</t>
  </si>
  <si>
    <t>HAKL Martin</t>
  </si>
  <si>
    <t>STIBAL Jakub</t>
  </si>
  <si>
    <t>CERNOHLAVEK Michal</t>
  </si>
  <si>
    <t>KRENEK Robin</t>
  </si>
  <si>
    <t>SIFALDA Radek</t>
  </si>
  <si>
    <t>ZEDNIK Michal</t>
  </si>
  <si>
    <t>ZEYNEL LÜTFÜ Atay</t>
  </si>
  <si>
    <t>ABBASI Vahid</t>
  </si>
  <si>
    <t>CHRISTENSEN Mathias Mandrup Bauer</t>
  </si>
  <si>
    <t>AQUINO MERAN Anthony</t>
  </si>
  <si>
    <t>RAMIREZ MELENCIANO Carix Elizabeth</t>
  </si>
  <si>
    <t>REYES PEREZ Juan Carlos</t>
  </si>
  <si>
    <t>SARANTE ZAPATA Jimmy Carlos</t>
  </si>
  <si>
    <t>MUNOZ CARRIEL Omar Fabricio</t>
  </si>
  <si>
    <t>HEREDIA ORTIZ Wiliam Jenaro</t>
  </si>
  <si>
    <t>HURTADO POROZO Byron Andres</t>
  </si>
  <si>
    <t>MONTES CHASING Cesar Augusto</t>
  </si>
  <si>
    <t>QUINGA JACOME Freddy Marcelo</t>
  </si>
  <si>
    <t>ANGULO TENORIO Jefferson Oswaldo</t>
  </si>
  <si>
    <t>MOREIRA ESPINOZA Elvis Ivan</t>
  </si>
  <si>
    <t>PINCAY CASTRO Magaly Maria</t>
  </si>
  <si>
    <t>HALAWA Sherif Aly Aly Ahmed</t>
  </si>
  <si>
    <t>ABDALLA Marwa Mohamed Ahmed Ismaeil</t>
  </si>
  <si>
    <t>EL GANZOURY Hossam Sarhan Hussein</t>
  </si>
  <si>
    <t>MOUSTAFA Ibrahim Adel</t>
  </si>
  <si>
    <t>ABDELAZIZ Mohamed</t>
  </si>
  <si>
    <t>ABDELAZIZ Mohamed Magdy Mostafa</t>
  </si>
  <si>
    <t>ABDELAZIZ ALI Mostafa Mahmoud</t>
  </si>
  <si>
    <t>ABDELHAMED Ahmed Abdelhamed Mohammed</t>
  </si>
  <si>
    <t>ABDELRAHIM Abdellatif</t>
  </si>
  <si>
    <t>AHMED SALAH Ibrahim Sayed Ahmed</t>
  </si>
  <si>
    <t>ELSAYED Shaban Elsayed Shaban</t>
  </si>
  <si>
    <t>GAMAL ELSAYED Abdelazim Khalifa</t>
  </si>
  <si>
    <t>MOAHMED ADEL Mohamed Abdelsalam</t>
  </si>
  <si>
    <t>MOETZ SADK Younes</t>
  </si>
  <si>
    <t>SALEH Somia Mohamed Abdellatif</t>
  </si>
  <si>
    <t>SALMAN Hassan Ahmed</t>
  </si>
  <si>
    <t>TOLBA Mohamed Mohamed Abdelmonsef Mohamed</t>
  </si>
  <si>
    <t>YOUSSEF Waleed Afifi Badawy Afifi</t>
  </si>
  <si>
    <t>ABOUELSAAD Nassar Fathy Nassar</t>
  </si>
  <si>
    <t>ALSHAIEB Mohammad Awwad Amer</t>
  </si>
  <si>
    <t>ELFIKEY Shimaa Moustafa Abdelfatah Mohamed</t>
  </si>
  <si>
    <t>ELKILANY Mohamed Ragab Abdelsalam</t>
  </si>
  <si>
    <t>ELSHISHINY Eslam Omar Mohamed Aly</t>
  </si>
  <si>
    <t>HALAWA Shehab Ali</t>
  </si>
  <si>
    <t>HANAFY Sayed Hamdy</t>
  </si>
  <si>
    <t>HASSAN Moustafa Mohamed Abdelfattah</t>
  </si>
  <si>
    <t>MAHMOUD Hader Ali Fekry</t>
  </si>
  <si>
    <t>MOHAMED ISMAIL Metwally</t>
  </si>
  <si>
    <t>MOHAMED MEDHAT Hamed Youssef</t>
  </si>
  <si>
    <t>NOURELDEEN Amr Mohsen Ali</t>
  </si>
  <si>
    <t>SHERIF Hussein Sayed</t>
  </si>
  <si>
    <t>WAEL MOHAMED Said Mohamed Tolba</t>
  </si>
  <si>
    <t>ABDELAZIZ Ahmed Hamdy Abdelhalim</t>
  </si>
  <si>
    <t>ABDELFATTAH Ahmed Zakaria Zaki</t>
  </si>
  <si>
    <t>ABOUMOHAMED Mohamed Ali Hassan Hassan</t>
  </si>
  <si>
    <t>AHMED HASSAN Ahmed Gabr</t>
  </si>
  <si>
    <t>ELDESOKY Ahmed Reda Abdelghany</t>
  </si>
  <si>
    <t>ELNEKLAWY Rasha Mohammed Mohammed</t>
  </si>
  <si>
    <t>ELSAYED Ibrahim Farag Fathy</t>
  </si>
  <si>
    <t>ELWAN Ahmed Reda Moustafa</t>
  </si>
  <si>
    <t>FADY MICHEL Marco Khalil</t>
  </si>
  <si>
    <t>MAHRAN Saleh Abdelgaber Abdelhafez</t>
  </si>
  <si>
    <t>MOHAMED Abouelmakarem Mohamed Abouelmakarem</t>
  </si>
  <si>
    <t>MOHAMED Ahmed Mahmoud Ahmed Rashed</t>
  </si>
  <si>
    <t>MOHAMED MAHMOUD Ahmed Fahmy</t>
  </si>
  <si>
    <t>MOUSTAFA Karim Mohsen Elsaid</t>
  </si>
  <si>
    <t>RAMADAN Hany Shaker Amer</t>
  </si>
  <si>
    <t>SADEK Muhammed Sayed Muhammed</t>
  </si>
  <si>
    <t>SHEHATA Essam Mohamed Ahmed</t>
  </si>
  <si>
    <t>ZAKARIA Amr Mohamed Zakaria Abdelhak</t>
  </si>
  <si>
    <t>LOPEZ PEREZ Juan Eduardo</t>
  </si>
  <si>
    <t>ERAZO HENRIQUEZ Jose Noel</t>
  </si>
  <si>
    <t>FLORES Carlos Antonio</t>
  </si>
  <si>
    <t>LOPEZ RODRIGUEZ Josue Saul</t>
  </si>
  <si>
    <t>GARCIA Carlos</t>
  </si>
  <si>
    <t>RODRIGUEZ Fernando</t>
  </si>
  <si>
    <t>ARAUJO PEREIRA Marcos</t>
  </si>
  <si>
    <t>RODRIGUEZ RICO Clara Maria</t>
  </si>
  <si>
    <t>TERRON MOLINA David</t>
  </si>
  <si>
    <t>FERNANDEZ VAZQUEZ Daniel</t>
  </si>
  <si>
    <t>GANDUL SOBRINO Manuel</t>
  </si>
  <si>
    <t>GONZALEZ ROMERO Jordi</t>
  </si>
  <si>
    <t>PEREZ CABRERA Airam</t>
  </si>
  <si>
    <t>LEAL Juan carlos</t>
  </si>
  <si>
    <t>MARCOS MATAS Gustavo</t>
  </si>
  <si>
    <t>ORTIZ EUBA Gentzane</t>
  </si>
  <si>
    <t>PANEV PANEV AHMED</t>
  </si>
  <si>
    <t>PERALES CABREJAS Pablo</t>
  </si>
  <si>
    <t>RAMIREZ GALLARDO Felix</t>
  </si>
  <si>
    <t>ROMERO PORTA Luis</t>
  </si>
  <si>
    <t>ANDRUSE Hergo</t>
  </si>
  <si>
    <t>OLGO Aavo</t>
  </si>
  <si>
    <t>REINO Janek</t>
  </si>
  <si>
    <t>TSEHHONIN Nikita</t>
  </si>
  <si>
    <t>ANDRUSE Velja</t>
  </si>
  <si>
    <t>ENNIKA Kuldar</t>
  </si>
  <si>
    <t>KULBERG Alex</t>
  </si>
  <si>
    <t>MITT Kauri</t>
  </si>
  <si>
    <t>RENTER Tanel</t>
  </si>
  <si>
    <t>SAHNO Sergei</t>
  </si>
  <si>
    <t>ÄRMUS Mehis</t>
  </si>
  <si>
    <t>KIVIMAEGI Jako</t>
  </si>
  <si>
    <t>TILK Tónu</t>
  </si>
  <si>
    <t>HIETALA Joonas</t>
  </si>
  <si>
    <t>MÄKI-TÖYLI Matti</t>
  </si>
  <si>
    <t>AALTO Anni-Maija</t>
  </si>
  <si>
    <t>AL-OBAIDI Anmar</t>
  </si>
  <si>
    <t>KURONEN Jali</t>
  </si>
  <si>
    <t>SARANPAA Mikko</t>
  </si>
  <si>
    <t>SIDIK ALI Miro</t>
  </si>
  <si>
    <t>SIDIK ALI Nabard</t>
  </si>
  <si>
    <t>TÖRHÖNEN Sanna</t>
  </si>
  <si>
    <t>UTRIAINEN Timo</t>
  </si>
  <si>
    <t>PALOMAKI Niina Marika</t>
  </si>
  <si>
    <t>JAAKKOLA Markus Mikael</t>
  </si>
  <si>
    <t>VARTEVA Santeri Aukusti</t>
  </si>
  <si>
    <t>COFFARD Joël</t>
  </si>
  <si>
    <t>REY David Pascal</t>
  </si>
  <si>
    <t>TRAN Mélanie</t>
  </si>
  <si>
    <t>VANWAELSCAPPEL Eric</t>
  </si>
  <si>
    <t>BRELET Esther</t>
  </si>
  <si>
    <t>LACAM Agnès</t>
  </si>
  <si>
    <t>CAUVIN Sophie</t>
  </si>
  <si>
    <t>GHAVZALIAN Alexandre</t>
  </si>
  <si>
    <t>GIRONDE Alexandre Daniel</t>
  </si>
  <si>
    <t>MAYER Donovan Mickael Patrice</t>
  </si>
  <si>
    <t>TARTAVEZ Jerome</t>
  </si>
  <si>
    <t>JENDAR Mohamed</t>
  </si>
  <si>
    <t>JOAL Cedric Jeremy</t>
  </si>
  <si>
    <t>LEBEE Jason Didier Alain</t>
  </si>
  <si>
    <t>SOMON Jordan</t>
  </si>
  <si>
    <t>OSMAN Mohamed Malak</t>
  </si>
  <si>
    <t>SEGGL Lee</t>
  </si>
  <si>
    <t>PHILLIPS Richard</t>
  </si>
  <si>
    <t>DRUZHYNETS Oleg</t>
  </si>
  <si>
    <t>DARSANIA Ruslan</t>
  </si>
  <si>
    <t>GRDZELIDZE Mikheili</t>
  </si>
  <si>
    <t>GELASHVILI Gela</t>
  </si>
  <si>
    <t>JORBENADZE Malkhaz</t>
  </si>
  <si>
    <t>ELOSHVILI Zurab</t>
  </si>
  <si>
    <t>LOMANADZE Ednar</t>
  </si>
  <si>
    <t>TABLIASHVILI Elene</t>
  </si>
  <si>
    <t>MELIKSETIAN Zuriko</t>
  </si>
  <si>
    <t>VERDZADZE Manuchar</t>
  </si>
  <si>
    <t>ANSELM Maria</t>
  </si>
  <si>
    <t>SCHERER Ramona</t>
  </si>
  <si>
    <t>SCHMITT Karl-Peter</t>
  </si>
  <si>
    <t>BAUMGARTNER Torsten</t>
  </si>
  <si>
    <t>GLEISBERG Ingo</t>
  </si>
  <si>
    <t>KNOSP Thomas</t>
  </si>
  <si>
    <t>SCHEDLER Andre</t>
  </si>
  <si>
    <t>STEFANOV Petar</t>
  </si>
  <si>
    <t>BUCHWALD Saskia</t>
  </si>
  <si>
    <t>GOLLER Bjoern</t>
  </si>
  <si>
    <t>MANZ Marvin Paul</t>
  </si>
  <si>
    <t>SCHMIDT Mario</t>
  </si>
  <si>
    <t>SCHNEIDER Ralf</t>
  </si>
  <si>
    <t>SENN Benjamin Kevin</t>
  </si>
  <si>
    <t>SPIEGEL Jeffrey</t>
  </si>
  <si>
    <t>BARTOS Manuel</t>
  </si>
  <si>
    <t>BIBBO Gideon</t>
  </si>
  <si>
    <t>GEORGIOU Pavlina</t>
  </si>
  <si>
    <t>LIAKOS Christos</t>
  </si>
  <si>
    <t>KARAMPELA Niki</t>
  </si>
  <si>
    <t>KARAMPELAS Georgios</t>
  </si>
  <si>
    <t>MIGKIPI Anastasia</t>
  </si>
  <si>
    <t>PANANAKIS Georgios</t>
  </si>
  <si>
    <t>KOKKINIDIS Savvas</t>
  </si>
  <si>
    <t>KOUTSOURIDIS Charalampos</t>
  </si>
  <si>
    <t>PATETSOU Evangelia</t>
  </si>
  <si>
    <t>FIGUEROA Hugo</t>
  </si>
  <si>
    <t>RUANO BARILLAS Oscar Leonel</t>
  </si>
  <si>
    <t>HERNANDEZ GONZALES Silvia Esperanza</t>
  </si>
  <si>
    <t>PAL Szabolcs</t>
  </si>
  <si>
    <t>PALÁSTI Tibor</t>
  </si>
  <si>
    <t>SLEISZ Gabriella</t>
  </si>
  <si>
    <t>KAJTAN Oliver</t>
  </si>
  <si>
    <t>KISMÓNI János</t>
  </si>
  <si>
    <t>LÖRIK Zsombor</t>
  </si>
  <si>
    <t>ROGLER Gábor</t>
  </si>
  <si>
    <t>SZABÓ Bence Gyula</t>
  </si>
  <si>
    <t>SZANTONE CSANO Zsofia</t>
  </si>
  <si>
    <t>WEISZ György István</t>
  </si>
  <si>
    <t>ASZTALOS Balint</t>
  </si>
  <si>
    <t>KISMONI Moric</t>
  </si>
  <si>
    <t>LAUFER CSIK Annamaria</t>
  </si>
  <si>
    <t>STAROSCIÁK Tamás</t>
  </si>
  <si>
    <t>VAJDA Szebasztian</t>
  </si>
  <si>
    <t>GULYAS Botond</t>
  </si>
  <si>
    <t>MAKULA Tamas</t>
  </si>
  <si>
    <t>SZEL David</t>
  </si>
  <si>
    <t>VESZELSZKI Daniel</t>
  </si>
  <si>
    <t>HOTMARULI Herlambang Hasea</t>
  </si>
  <si>
    <t>SITORUS Andilala</t>
  </si>
  <si>
    <t>MALIK Satya Dev</t>
  </si>
  <si>
    <t>MALIK Virender Singh</t>
  </si>
  <si>
    <t>SANJAY Kumar</t>
  </si>
  <si>
    <t>DINESH DHONDIBA Gund</t>
  </si>
  <si>
    <t>KUMAR Ashok</t>
  </si>
  <si>
    <t>PRADEEP Pradeep</t>
  </si>
  <si>
    <t>SINGH Jaibir</t>
  </si>
  <si>
    <t>THOTLOLA Sunnybabu</t>
  </si>
  <si>
    <t>ARYA Kirtisna</t>
  </si>
  <si>
    <t>GHOSRE Vinay Kumar</t>
  </si>
  <si>
    <t>NAVAL Kishore</t>
  </si>
  <si>
    <t>SINGH Surender</t>
  </si>
  <si>
    <t>SITANDER Sitander</t>
  </si>
  <si>
    <t>CHOUDHARY Usha</t>
  </si>
  <si>
    <t>DEBNATH Nandan</t>
  </si>
  <si>
    <t>DHAMAL Navanath Vijayrao</t>
  </si>
  <si>
    <t>HANS Sahil</t>
  </si>
  <si>
    <t>KABLIYE Nitish Nandlal</t>
  </si>
  <si>
    <t>KRISHNAPPA Vinodkumar</t>
  </si>
  <si>
    <t>KUMAR Ravindra</t>
  </si>
  <si>
    <t>MANICKAM Loganathan</t>
  </si>
  <si>
    <t>NAIN Rajender</t>
  </si>
  <si>
    <t>NIKALJE Sambhaji Shivaji</t>
  </si>
  <si>
    <t>RAJPUT Reetusingh Hansrajsingh</t>
  </si>
  <si>
    <t>SHARMA Karan</t>
  </si>
  <si>
    <t>SHIVAJI Shivaji</t>
  </si>
  <si>
    <t>SINGH Bijender</t>
  </si>
  <si>
    <t>SINGH Jagbir</t>
  </si>
  <si>
    <t>SINGH Priyanka</t>
  </si>
  <si>
    <t>VINOD Vinod</t>
  </si>
  <si>
    <t>ABBASI Saeid</t>
  </si>
  <si>
    <t>BASHIRZADEH NAMADMAL Mehdi</t>
  </si>
  <si>
    <t>MOSALAEIPOUR Mohammad</t>
  </si>
  <si>
    <t>SADEGHI Nima</t>
  </si>
  <si>
    <t>SOLTANIZADEH Kamran</t>
  </si>
  <si>
    <t>ABBASI Hazhar</t>
  </si>
  <si>
    <t>AGHAVALI Mahdi</t>
  </si>
  <si>
    <t>AHMADISHOURKAEI Mohammadali</t>
  </si>
  <si>
    <t>ALIASGHARITABRIZI Reza</t>
  </si>
  <si>
    <t>ALIZADEH Ali</t>
  </si>
  <si>
    <t>ALIZADEH Hamed</t>
  </si>
  <si>
    <t>AMIRI Farshad</t>
  </si>
  <si>
    <t>AMJADI Babak</t>
  </si>
  <si>
    <t>BABAEI Danial</t>
  </si>
  <si>
    <t>BAHARLOUSAMANI Gholamreza</t>
  </si>
  <si>
    <t>BALI TABAR Salar</t>
  </si>
  <si>
    <t>EMAMI Hessam</t>
  </si>
  <si>
    <t>GHALAVAND Milad</t>
  </si>
  <si>
    <t>GHOVATI Meysam</t>
  </si>
  <si>
    <t>GITI Mazdak</t>
  </si>
  <si>
    <t>GOLDASHTI Hasan</t>
  </si>
  <si>
    <t>JALILIAN Mohsen</t>
  </si>
  <si>
    <t>KHOSHMANZAR Davood</t>
  </si>
  <si>
    <t>KOUHESTANI NAJAFI Zabihollah</t>
  </si>
  <si>
    <t>MIRHASHEMI AGHDAM Seyedfarshid</t>
  </si>
  <si>
    <t>MOHAMMADNEJADPAJI Gholamreza</t>
  </si>
  <si>
    <t>POURKARIM Ali</t>
  </si>
  <si>
    <t>RAD MARD Ebrahim</t>
  </si>
  <si>
    <t>RAHIMPOUR Mohammad</t>
  </si>
  <si>
    <t>RAHNAMA Amir Hossein</t>
  </si>
  <si>
    <t>REZA POUR Behrouz</t>
  </si>
  <si>
    <t>ROSTAMIPOUR GARKANI Masoud</t>
  </si>
  <si>
    <t>SADATITALARAKI Seyedmeisam</t>
  </si>
  <si>
    <t>SAJADI HEZAVEH Seyed Mohammad</t>
  </si>
  <si>
    <t>SALARI Sasan</t>
  </si>
  <si>
    <t>SALMANPOURFARD Seifali</t>
  </si>
  <si>
    <t>SAMIEI FARD Mahdi</t>
  </si>
  <si>
    <t>SHIR MOHAMMADI Behnam</t>
  </si>
  <si>
    <t>SOTOUDEH Mahmoudreza</t>
  </si>
  <si>
    <t>TADIN Amin</t>
  </si>
  <si>
    <t>TAHERKHANI Gholam Reza</t>
  </si>
  <si>
    <t>YAZDANPANAH Ebrahim</t>
  </si>
  <si>
    <t>ZADEH HENDIJANI Behrooz</t>
  </si>
  <si>
    <t>ZOURMAND SEFNEJANI Morteza</t>
  </si>
  <si>
    <t>AGHILI Abolfazl</t>
  </si>
  <si>
    <t>BAGHERI Mohammad</t>
  </si>
  <si>
    <t>BAHRAMI Farid</t>
  </si>
  <si>
    <t>GHAHREMANIMAJD Mahdi Alimrza</t>
  </si>
  <si>
    <t>HADADY Mohamad</t>
  </si>
  <si>
    <t>HASHEMI Mahdi</t>
  </si>
  <si>
    <t>KHODAMORADI Adnan</t>
  </si>
  <si>
    <t>KHORSANDI Hamed</t>
  </si>
  <si>
    <t>TAJIK Ahmad</t>
  </si>
  <si>
    <t>ABEDI Hamid Reza</t>
  </si>
  <si>
    <t>AGHIGHI Kazem</t>
  </si>
  <si>
    <t>AMIRNEJAD Gholamreza</t>
  </si>
  <si>
    <t>ASGARIVARJANI Hossein</t>
  </si>
  <si>
    <t>ATASHPEYKAR Saber</t>
  </si>
  <si>
    <t>BAGHERI Ghader</t>
  </si>
  <si>
    <t>FARSIABI Hamidreza</t>
  </si>
  <si>
    <t>FATHI Seyed Nosratollah</t>
  </si>
  <si>
    <t>FOROUGHI NEZHAD Iman Ali</t>
  </si>
  <si>
    <t>GHOLAMZADEHALAM Shirzad</t>
  </si>
  <si>
    <t>GOODARZI Siyamak</t>
  </si>
  <si>
    <t>HABIBI Jalal</t>
  </si>
  <si>
    <t>HASHEMIAN Seyedeisa</t>
  </si>
  <si>
    <t>HASSANI Naser</t>
  </si>
  <si>
    <t>HOSSEINYAZDI Kaveh Jafar</t>
  </si>
  <si>
    <t>JABARI Emran</t>
  </si>
  <si>
    <t>KARGARPOUR Abbas</t>
  </si>
  <si>
    <t>KHALEGH ZADEH BIG Ali</t>
  </si>
  <si>
    <t>LARIJANI Ali</t>
  </si>
  <si>
    <t>MARZI Mohammad</t>
  </si>
  <si>
    <t>MODABER Mahmoud</t>
  </si>
  <si>
    <t>MOHAMMAD POUR Farhad Ardeshir</t>
  </si>
  <si>
    <t>MOOSAVI Seyedhamidreza</t>
  </si>
  <si>
    <t>NABATCHIAN Abdolreza</t>
  </si>
  <si>
    <t>NAGHILOO Reza</t>
  </si>
  <si>
    <t>NASIRI Akbar</t>
  </si>
  <si>
    <t>RAHIMI Mohammad Reza</t>
  </si>
  <si>
    <t>REZAEI Majid</t>
  </si>
  <si>
    <t>REZAEIGHALEH Mehdi</t>
  </si>
  <si>
    <t>REZAPOUR Amin</t>
  </si>
  <si>
    <t>SADOOGHI Mahdi</t>
  </si>
  <si>
    <t>SAMADI ZADEH GHEZELHAJIN Afshin</t>
  </si>
  <si>
    <t>SANGDOBINI Eisa</t>
  </si>
  <si>
    <t>SHABANPOUR Sina Ahmadreza</t>
  </si>
  <si>
    <t>SHAHBAZI Mehdi</t>
  </si>
  <si>
    <t>TOUGHI Jalal</t>
  </si>
  <si>
    <t>VAHEDI Javad</t>
  </si>
  <si>
    <t>YAR AHMADI Mohammad Hassan</t>
  </si>
  <si>
    <t>YAZDANPOOR Ayoub</t>
  </si>
  <si>
    <t>HADI HASAN ISMAEL Ismael</t>
  </si>
  <si>
    <t>SAIWAN Ali Mohammed</t>
  </si>
  <si>
    <t>ABDLHAMID Labib Jamal</t>
  </si>
  <si>
    <t>AL-KHAZAALI Mohammed Abdulhameed A.</t>
  </si>
  <si>
    <t>HASAN Yasir Falih</t>
  </si>
  <si>
    <t>JUMAAH Mohammed Qader</t>
  </si>
  <si>
    <t>AL-GHALOOM Ammar Zyara Eskander</t>
  </si>
  <si>
    <t>AL-KNEEFAR Jawad Kadhim Hittaihet</t>
  </si>
  <si>
    <t>AL-LAMI Mohammed Jabbar Lazim</t>
  </si>
  <si>
    <t>AL-OBAIDI Omer Sabah Saeed</t>
  </si>
  <si>
    <t>AL-SAADI Ahmed Sattwan Nashaat</t>
  </si>
  <si>
    <t>AL-SAEEDI Qayssar Jumaah Jasim</t>
  </si>
  <si>
    <t>AL-SORMERI ABDULLAH ABDULHAMED</t>
  </si>
  <si>
    <t>AL-ZUBAIDI Muslim Rzaij Jabratullah</t>
  </si>
  <si>
    <t>ALNAES Aws Nafea Weli</t>
  </si>
  <si>
    <t>BAKR OMER ABDULKAREEM</t>
  </si>
  <si>
    <t>BEBAN Marwan Ali Abdulrazzaq</t>
  </si>
  <si>
    <t>BYBAN Ismael Ali Abdulrazzaq</t>
  </si>
  <si>
    <t>GALEB Zaid Hilal Majid</t>
  </si>
  <si>
    <t>JAMAL Raed Labeeb Jamal</t>
  </si>
  <si>
    <t>JAMAL Waleed Khalid Jamal</t>
  </si>
  <si>
    <t>SHWAISH ADEL HASAN SHAWQI</t>
  </si>
  <si>
    <t>AL ABAYECHI Karrar Ahmed Saleh</t>
  </si>
  <si>
    <t>AL TAMEEMI Abbas Shaalan Abdulkadhim</t>
  </si>
  <si>
    <t>AL-FARAJI Firas Abdulkarem Abdulatef</t>
  </si>
  <si>
    <t>AL-MUTTAIRI Hadi Mahdi Wajid</t>
  </si>
  <si>
    <t>AL-OKBI Hussein Sattar Abdullah</t>
  </si>
  <si>
    <t>AL-SAEDI Ali Talib Mousa</t>
  </si>
  <si>
    <t>ALAMSHANI Mahdi Swadi Hadi</t>
  </si>
  <si>
    <t>ALBU DARAJ Mustafa Sabah Enad</t>
  </si>
  <si>
    <t>GHALIB Majid Hilal Majid</t>
  </si>
  <si>
    <t>GHULAM RIDHA Hazim Ali</t>
  </si>
  <si>
    <t>HAMEED Luay Qaddoori Hameed</t>
  </si>
  <si>
    <t>JAMAL Mohammed Labeeb Jamal</t>
  </si>
  <si>
    <t>JASIM Salwan Abdulridha Jasim</t>
  </si>
  <si>
    <t>LAZAM Idwer Lafta Lazam</t>
  </si>
  <si>
    <t>MOHAMMED HASAN MOHAMMED Mohammed</t>
  </si>
  <si>
    <t>SHEET Karam Ramzi Sheet</t>
  </si>
  <si>
    <t>SHIHAB Taif Amer Shihab</t>
  </si>
  <si>
    <t>LESHCHYNSKA Olga</t>
  </si>
  <si>
    <t>LESHCHYNSKYI Oleg</t>
  </si>
  <si>
    <t>POLIAK Yuri</t>
  </si>
  <si>
    <t>SAPOZHNIKOV Yevgeny</t>
  </si>
  <si>
    <t>AFANSSIEV Andrei</t>
  </si>
  <si>
    <t>BONDAR Ilan</t>
  </si>
  <si>
    <t>MARKMAN Michael</t>
  </si>
  <si>
    <t>SAPOZHNIKOV Olexiy</t>
  </si>
  <si>
    <t>GIUFFRIDA Angela</t>
  </si>
  <si>
    <t>PERNAGALLO Salvatore</t>
  </si>
  <si>
    <t>PARISI Elisabetta</t>
  </si>
  <si>
    <t>SCAFIDI Michele</t>
  </si>
  <si>
    <t>STORNAIUOLO LUCA</t>
  </si>
  <si>
    <t>CAPANO Annalisa</t>
  </si>
  <si>
    <t>GIRA Saverio Antonio</t>
  </si>
  <si>
    <t>LICITRA Caterina</t>
  </si>
  <si>
    <t>SOLINAS Danilo</t>
  </si>
  <si>
    <t>INDELICATO Francesca</t>
  </si>
  <si>
    <t>PRATICO Guido</t>
  </si>
  <si>
    <t>STOPPONI Massimo</t>
  </si>
  <si>
    <t>AL SALLAQ Munier</t>
  </si>
  <si>
    <t>GHAITH NAWAF Ali Althunibat</t>
  </si>
  <si>
    <t>AL MASRI Khaled Moh'd Abdelhamid</t>
  </si>
  <si>
    <t>AL OBEID Samih Ahmad Ali</t>
  </si>
  <si>
    <t>NAYEF Aloush</t>
  </si>
  <si>
    <t>RASHDAN ABDULRAHEEM SHAKER Nada</t>
  </si>
  <si>
    <t>ABUJAFAR Hamza Mazin Majed</t>
  </si>
  <si>
    <t>AL-AARAG Haitham Ibrahim Mustafa</t>
  </si>
  <si>
    <t>DAOUD Tasneem Mahmoud Daoud</t>
  </si>
  <si>
    <t>JAMOUS Mohammad Mahmoud Khalaf</t>
  </si>
  <si>
    <t>ALZAYADNEH Mahmoud Husni Mohammad</t>
  </si>
  <si>
    <t>HASAN Mohammad Fadeel</t>
  </si>
  <si>
    <t>KRESHAN Zain Alabdeen Adnan Kayed</t>
  </si>
  <si>
    <t>MARAFI Ahmad Salah A</t>
  </si>
  <si>
    <t>MASOUD Abdallah Jamal Fayiz</t>
  </si>
  <si>
    <t>KOIKE Kuninori</t>
  </si>
  <si>
    <t>FURUSATO Airi</t>
  </si>
  <si>
    <t>MASUDA Masashi</t>
  </si>
  <si>
    <t>MOTODAHARA Akira</t>
  </si>
  <si>
    <t>DOI Katsuya</t>
  </si>
  <si>
    <t>HARIGAI Yutaka</t>
  </si>
  <si>
    <t>HASEGAWA Takuya</t>
  </si>
  <si>
    <t>KOZUKA HIDEAKI</t>
  </si>
  <si>
    <t>MURATA Tomoya</t>
  </si>
  <si>
    <t>YABU Ataru</t>
  </si>
  <si>
    <t>HOSAKA Kazuya</t>
  </si>
  <si>
    <t>KIMURA Shota</t>
  </si>
  <si>
    <t>SUMIDA Takashi</t>
  </si>
  <si>
    <t>YOKOYAMA Haruka</t>
  </si>
  <si>
    <t>OKAYAMA Tomoki</t>
  </si>
  <si>
    <t>SAIKAWA Norikatsu</t>
  </si>
  <si>
    <t>SAITO Honoka</t>
  </si>
  <si>
    <t>SHINOHARA Masaki</t>
  </si>
  <si>
    <t>TOIDA Yukihiro</t>
  </si>
  <si>
    <t>URATA Akira</t>
  </si>
  <si>
    <t>BUDENOV Manarbek</t>
  </si>
  <si>
    <t>LIGAY Igor</t>
  </si>
  <si>
    <t>SHALABAYEV Berik</t>
  </si>
  <si>
    <t>ZHUMABEKOV Yerik</t>
  </si>
  <si>
    <t>AMANZHOLOV Alibi</t>
  </si>
  <si>
    <t>DROBINA Xeniya</t>
  </si>
  <si>
    <t>KHAMZIN Meiram</t>
  </si>
  <si>
    <t>SHYNYBEKOV Salamat</t>
  </si>
  <si>
    <t>TELZHANULY Yernaz</t>
  </si>
  <si>
    <t>AMIROV Dastan</t>
  </si>
  <si>
    <t>KASSYANIK Nikolay</t>
  </si>
  <si>
    <t>KERIMBAYEV Marat</t>
  </si>
  <si>
    <t>KISTAUBAYEV Yerzhan</t>
  </si>
  <si>
    <t>KORABAYEV Aibek</t>
  </si>
  <si>
    <t>KUNAYEV Akhdan</t>
  </si>
  <si>
    <t>MYRZABEK Talgat</t>
  </si>
  <si>
    <t>NIYAZOV Aibergen</t>
  </si>
  <si>
    <t>NURZHANOV Marat</t>
  </si>
  <si>
    <t>SARSEKEYEV Aidyn</t>
  </si>
  <si>
    <t>SARYBAYEV Adilet</t>
  </si>
  <si>
    <t>ZHAPAROV Yerik</t>
  </si>
  <si>
    <t>ABUTALIYEV Bolat</t>
  </si>
  <si>
    <t>AKMURZINOV Muktarkhan</t>
  </si>
  <si>
    <t>AMANDYK Nursultan</t>
  </si>
  <si>
    <t>BARSAYEV Kairat</t>
  </si>
  <si>
    <t>BOTABAYEV Kuanysh</t>
  </si>
  <si>
    <t>GRUDIN Alexandr</t>
  </si>
  <si>
    <t>ILAKHUNOV Dilshad</t>
  </si>
  <si>
    <t>KERIMBAYEV Talgat</t>
  </si>
  <si>
    <t>KHALIKOV Yerlan</t>
  </si>
  <si>
    <t>KIYAMAZANOV Aidos</t>
  </si>
  <si>
    <t>KOZHAKHMETOV Nariman</t>
  </si>
  <si>
    <t>MAGZUMOV Nurbolat</t>
  </si>
  <si>
    <t>MASHAYEV Zhenis</t>
  </si>
  <si>
    <t>MUKHAMETALINOV Yerbolat</t>
  </si>
  <si>
    <t>MUSSAYEV Meirambek</t>
  </si>
  <si>
    <t>RAIYMBEK Gabiden</t>
  </si>
  <si>
    <t>REMET Bogenbay</t>
  </si>
  <si>
    <t>SEIFULLAYEV Yerlan</t>
  </si>
  <si>
    <t>SEITKAZY Yernar</t>
  </si>
  <si>
    <t>SEITOV Tagabergen</t>
  </si>
  <si>
    <t>TSITSKIYEV Ruslan</t>
  </si>
  <si>
    <t>URAZOV Azamat</t>
  </si>
  <si>
    <t>YEREZHEPOV Assylbek</t>
  </si>
  <si>
    <t>ZHOLAMANOV Serik</t>
  </si>
  <si>
    <t>MWAI Benson Nene</t>
  </si>
  <si>
    <t>ABITOV Mukhamedali</t>
  </si>
  <si>
    <t>AKHMETOV Kuvat</t>
  </si>
  <si>
    <t>AKMATOV Aibek</t>
  </si>
  <si>
    <t>AZIZBAEV Saitdin</t>
  </si>
  <si>
    <t>EGEEV Ryskulbek</t>
  </si>
  <si>
    <t>JUMABEKOV Abdymital</t>
  </si>
  <si>
    <t>SURANOV Ernis</t>
  </si>
  <si>
    <t>ABDYMAZHIT UULU Abdykalyk</t>
  </si>
  <si>
    <t>ALZHANOV Mirlan</t>
  </si>
  <si>
    <t>BEKMYRZAEV Azamat</t>
  </si>
  <si>
    <t>DERKEMBAEV Ulan</t>
  </si>
  <si>
    <t>GAZIEV Ilzat</t>
  </si>
  <si>
    <t>KOCHAROV Rustam</t>
  </si>
  <si>
    <t>SHARIPOV Ilzat</t>
  </si>
  <si>
    <t>USENOV Azamat</t>
  </si>
  <si>
    <t>BEISHALIEV Kydyrsha</t>
  </si>
  <si>
    <t>BEISHENOV Yrsaly</t>
  </si>
  <si>
    <t>KAMALOV Iliaz</t>
  </si>
  <si>
    <t>KOCHORBAEV Mels</t>
  </si>
  <si>
    <t>SULAIMANOV Shadybek</t>
  </si>
  <si>
    <t>ZAINITDINOV Rakhmatbek</t>
  </si>
  <si>
    <t>LEE Jiwoo</t>
  </si>
  <si>
    <t>HONG Hyang-Rae</t>
  </si>
  <si>
    <t>JOUNG Dawoon</t>
  </si>
  <si>
    <t>YOU Chang-Su</t>
  </si>
  <si>
    <t>JEONG Shinhye</t>
  </si>
  <si>
    <t>KIM Dol-Kyu</t>
  </si>
  <si>
    <t>KIM Hyoung-Goo</t>
  </si>
  <si>
    <t>KWAK Minjae</t>
  </si>
  <si>
    <t>KWON Goomyeung</t>
  </si>
  <si>
    <t>OH Young-Bum</t>
  </si>
  <si>
    <t>PARK Heebae</t>
  </si>
  <si>
    <t>PARK Keunchul</t>
  </si>
  <si>
    <t>SUR Minwon</t>
  </si>
  <si>
    <t>CHO Young Bae</t>
  </si>
  <si>
    <t>CHOI Eunjin</t>
  </si>
  <si>
    <t>KIM Deog Ho</t>
  </si>
  <si>
    <t>KIM Joo Youn</t>
  </si>
  <si>
    <t>KIM Yeonsoo</t>
  </si>
  <si>
    <t>LEE Byung Yeol</t>
  </si>
  <si>
    <t>LEE Yong Hee</t>
  </si>
  <si>
    <t>PARK Kungrak</t>
  </si>
  <si>
    <t>YOO Sang-Min</t>
  </si>
  <si>
    <t>BAEK Jin-Kuk</t>
  </si>
  <si>
    <t>CHOI Wan Ho</t>
  </si>
  <si>
    <t>IM Jung ki</t>
  </si>
  <si>
    <t>KIM Jaegang</t>
  </si>
  <si>
    <t>KIM Jong Dae</t>
  </si>
  <si>
    <t>KIM Jongtae</t>
  </si>
  <si>
    <t>KIM Junghwan</t>
  </si>
  <si>
    <t>KIM Man-Kee</t>
  </si>
  <si>
    <t>KIM Min</t>
  </si>
  <si>
    <t>KIM Sanglae</t>
  </si>
  <si>
    <t>KWON Yong Hwan</t>
  </si>
  <si>
    <t>LEE Junam</t>
  </si>
  <si>
    <t>LEE Seungjong</t>
  </si>
  <si>
    <t>LEE Young-Sung</t>
  </si>
  <si>
    <t>LIM Jong-Yi</t>
  </si>
  <si>
    <t>NOH Jung Kee</t>
  </si>
  <si>
    <t>PARK Jinsung</t>
  </si>
  <si>
    <t>YUN Chang-Hee</t>
  </si>
  <si>
    <t>ALHAZMI Khalil Ibrahim</t>
  </si>
  <si>
    <t>YAMANI Mohsen Abbas O.</t>
  </si>
  <si>
    <t>AL SAUD Naif Mosaad S</t>
  </si>
  <si>
    <t>ALHAWSAWI Saeed Mohammed</t>
  </si>
  <si>
    <t>ALBISHI Mobarak Saad</t>
  </si>
  <si>
    <t>ALSUHAIBI Saud Khaled S</t>
  </si>
  <si>
    <t>ASIRI Khaled Abdullah M.</t>
  </si>
  <si>
    <t>DHUMAIDI Yousef Mohammed A.</t>
  </si>
  <si>
    <t>FALLATAH Yasser Mohammed M</t>
  </si>
  <si>
    <t>NAZLAWI Abdulaziz Asaad M</t>
  </si>
  <si>
    <t>ALQATARI Hassan Ali A</t>
  </si>
  <si>
    <t>DIRBAH Abdullah Shoei J</t>
  </si>
  <si>
    <t>NAZLAWI Samer Asaad M</t>
  </si>
  <si>
    <t>PHINITH Vannaleth</t>
  </si>
  <si>
    <t>EGLE Juris</t>
  </si>
  <si>
    <t>JEROHINS Pavels</t>
  </si>
  <si>
    <t>PLATONOVS Grigorijs</t>
  </si>
  <si>
    <t>RERIHS Janis</t>
  </si>
  <si>
    <t>ZJATKOVS Andrejs</t>
  </si>
  <si>
    <t>LAVRUHINS Artjoms</t>
  </si>
  <si>
    <t>ADOMAITIS Vilius</t>
  </si>
  <si>
    <t>BARANAUSKAS Marius</t>
  </si>
  <si>
    <t>GRICIUS Tomas</t>
  </si>
  <si>
    <t>LUKOMSKIS Karolis</t>
  </si>
  <si>
    <t>PELECKIS Nerijus</t>
  </si>
  <si>
    <t>IMANI Amal</t>
  </si>
  <si>
    <t>ZAIMI Abdallah</t>
  </si>
  <si>
    <t>OURIBI Hicham</t>
  </si>
  <si>
    <t>EL KORDY Lahoucine</t>
  </si>
  <si>
    <t>MOUTAWAKIL ALAOUI Moulay Mbark</t>
  </si>
  <si>
    <t>AFRIH Abderrafi</t>
  </si>
  <si>
    <t>ATTARZI Ahmed</t>
  </si>
  <si>
    <t>AZNAG Abdelouahed</t>
  </si>
  <si>
    <t>BOURZIZ Imad</t>
  </si>
  <si>
    <t>ZEROUALI Soufiane</t>
  </si>
  <si>
    <t>MOHAMMAD Alief Bin Hussaini</t>
  </si>
  <si>
    <t>TROFIM Piotr</t>
  </si>
  <si>
    <t>ZAPOROJAN Petru</t>
  </si>
  <si>
    <t>MODRUCI Igor</t>
  </si>
  <si>
    <t>PODSEVALNICOV Andrei</t>
  </si>
  <si>
    <t>TURCAN Iaroslav</t>
  </si>
  <si>
    <t>BALAUR Ghenadie</t>
  </si>
  <si>
    <t>GILCA Maxim</t>
  </si>
  <si>
    <t>LUPEI Petru</t>
  </si>
  <si>
    <t>VULPE Veaceslav</t>
  </si>
  <si>
    <t>ZGARDAN Roman</t>
  </si>
  <si>
    <t>GONZALEZ LIRA Hugo Enrique</t>
  </si>
  <si>
    <t>CAMACHO IBARRA Juan Arturo</t>
  </si>
  <si>
    <t>TORRES PRO Angela Kristina</t>
  </si>
  <si>
    <t>CASTRO PORRAS Claudia Angelica</t>
  </si>
  <si>
    <t>GONZALEZ PRIETO Omar</t>
  </si>
  <si>
    <t>RODRIGUEZ GARCIA Hugo Enrique</t>
  </si>
  <si>
    <t>BEYTIA CARDEÑA Jose Manuel</t>
  </si>
  <si>
    <t>MARTINEZ CORONA Cristian Geovany</t>
  </si>
  <si>
    <t>MORALES HERNANDEZ Victor Alberto</t>
  </si>
  <si>
    <t>ORTIZ JIMENEZ Soledad Magaly</t>
  </si>
  <si>
    <t>ROSALES INIGUEZ Esteban Ulises</t>
  </si>
  <si>
    <t>BATTULGA Altangadas</t>
  </si>
  <si>
    <t>BAATAR Tumurbaatar</t>
  </si>
  <si>
    <t>GAADAN Amarkhuu</t>
  </si>
  <si>
    <t>KHAYANKHYARVAA Choijiljav</t>
  </si>
  <si>
    <t>LUTBAYAR Ganzorig</t>
  </si>
  <si>
    <t>YUNGERENDORJ Batsaikhan</t>
  </si>
  <si>
    <t>ALTANGEREL Batmunkh</t>
  </si>
  <si>
    <t>BATBAATAR Nomin Erdene</t>
  </si>
  <si>
    <t>BATSAIKHAN Enkhjin</t>
  </si>
  <si>
    <t>BURNEEBAATAR Gansukh</t>
  </si>
  <si>
    <t>JIGDEN Lkhagvasuren</t>
  </si>
  <si>
    <t>KHANDSUREN Magvandorj</t>
  </si>
  <si>
    <t>PALAMDORJ Batbaatar</t>
  </si>
  <si>
    <t>BATDELEG Radnaa</t>
  </si>
  <si>
    <t>BATNOV Erdenebold</t>
  </si>
  <si>
    <t>BUDEEKHUU Enkhbayar</t>
  </si>
  <si>
    <t>BUKHBAT TSETSENBILEG</t>
  </si>
  <si>
    <t>ENKHBAT Zoljargal</t>
  </si>
  <si>
    <t>ENKHBAYAR Batnasan</t>
  </si>
  <si>
    <t>GANBAATAR Mendbayar</t>
  </si>
  <si>
    <t>MYAGMARCHULUUN Kajymukan</t>
  </si>
  <si>
    <t>NARANTUYA Purevtsetseg</t>
  </si>
  <si>
    <t>ULAANBANDI Uuganbaatar</t>
  </si>
  <si>
    <t>ZINAMIDER Ganbat</t>
  </si>
  <si>
    <t>ILIJEV Daniel</t>
  </si>
  <si>
    <t>ANGELOV Goce</t>
  </si>
  <si>
    <t>HRISTOV Igor</t>
  </si>
  <si>
    <t>HRISTOV Marjan</t>
  </si>
  <si>
    <t>ISMAILI Sufijan</t>
  </si>
  <si>
    <t>MARKOVSKI Ilcho</t>
  </si>
  <si>
    <t>SINANI Sabahudin</t>
  </si>
  <si>
    <t>VASSALLO Abraham Lewis</t>
  </si>
  <si>
    <t>ELISA Ludovic Robert Florient</t>
  </si>
  <si>
    <t>THERON Erika Gerda</t>
  </si>
  <si>
    <t>ALGUERA FLORES Denis Manuel</t>
  </si>
  <si>
    <t>ABDOELAEV Edmar</t>
  </si>
  <si>
    <t>RAYHANIASL Arash</t>
  </si>
  <si>
    <t>NASIRI SADIQLU Yousef</t>
  </si>
  <si>
    <t>OKOU Timipre Femedein</t>
  </si>
  <si>
    <t>ADEBIYI Anthony Olusegun</t>
  </si>
  <si>
    <t>YUSUF Usman</t>
  </si>
  <si>
    <t>HAMMER Thomas</t>
  </si>
  <si>
    <t>NESS Kristina Andersen</t>
  </si>
  <si>
    <t>ADOLFSEN Samy</t>
  </si>
  <si>
    <t>FATTAHI Naser</t>
  </si>
  <si>
    <t>MELAND Hans-Marius Enoksen</t>
  </si>
  <si>
    <t>ANDRESEN Anne-Lise</t>
  </si>
  <si>
    <t>RONNINGHAUG Mia</t>
  </si>
  <si>
    <t>ANDRESEN Christian</t>
  </si>
  <si>
    <t>MIKALSEN Kristoffer</t>
  </si>
  <si>
    <t>OLSSON Dan Hero</t>
  </si>
  <si>
    <t>LATHAM Alan Colston</t>
  </si>
  <si>
    <t>LATHAM Merinda Lee Abey</t>
  </si>
  <si>
    <t>DE LEON CARDOZE Raul Ernesto</t>
  </si>
  <si>
    <t>EYSSERIC SALDANA Mirellys Paola</t>
  </si>
  <si>
    <t>GAONA BETHANCOURTH Ariel Ricaurte</t>
  </si>
  <si>
    <t>MARTINEZ LORENZO Lucia Mercedes</t>
  </si>
  <si>
    <t>MONTERO RODRIGUEZ Edder</t>
  </si>
  <si>
    <t>OSCCO Teofilo</t>
  </si>
  <si>
    <t>MALASQUEZ LEON Billy Joe</t>
  </si>
  <si>
    <t>MALLQUI PECHE Thalia Jihann</t>
  </si>
  <si>
    <t>BAZAN Luis Enrique</t>
  </si>
  <si>
    <t>GARCIA ZUNIGA Juan Carlos</t>
  </si>
  <si>
    <t>MONTESINOS GUTIERREZ Carlos</t>
  </si>
  <si>
    <t>VIDALON CHAVEZ Julio Andres</t>
  </si>
  <si>
    <t>DEL ROSARIO Lester</t>
  </si>
  <si>
    <t>KITALONG Christopher Ultilong</t>
  </si>
  <si>
    <t>RENGUUL Skarlee Uelas</t>
  </si>
  <si>
    <t>DOROCIAK Bartosz</t>
  </si>
  <si>
    <t>LOJEWSKI Michal Marek</t>
  </si>
  <si>
    <t>LEBKOWSKI Lukasz</t>
  </si>
  <si>
    <t>MACIEJCZAK Michal</t>
  </si>
  <si>
    <t>MLODAWSKA Ewelina</t>
  </si>
  <si>
    <t>PAWLIKOWSKI Rafal Sebastian</t>
  </si>
  <si>
    <t>REKOWSKA Agnieszka</t>
  </si>
  <si>
    <t>SYGULA Marek Wojciech</t>
  </si>
  <si>
    <t>ZAKOWICZ Maciej</t>
  </si>
  <si>
    <t>BUDZYN Piotr Jan</t>
  </si>
  <si>
    <t>KORYTKOWSKI Przemyslaw Jan</t>
  </si>
  <si>
    <t>KULA Arkadiusz</t>
  </si>
  <si>
    <t>MUKARKER Mariusz</t>
  </si>
  <si>
    <t>OBRYCKI Antoni</t>
  </si>
  <si>
    <t>PRZYBYSZ Krzysztof</t>
  </si>
  <si>
    <t>TOMASZEWSKI Andrzej</t>
  </si>
  <si>
    <t>TROCZYNSKI Marek</t>
  </si>
  <si>
    <t>KREZOLEK Malgorzata</t>
  </si>
  <si>
    <t>KWIT Lucjan Zbigniew</t>
  </si>
  <si>
    <t>MARKIEWICZ Jan Adam</t>
  </si>
  <si>
    <t>ÀLVARO MARTA Rui Manuel</t>
  </si>
  <si>
    <t>DIAS BASTOS Frederico José</t>
  </si>
  <si>
    <t>FERNANDES LOBO DA COSTA Joao Vitor</t>
  </si>
  <si>
    <t>CHOE Jong Bok</t>
  </si>
  <si>
    <t>CHOE Tong Il</t>
  </si>
  <si>
    <t>KIM Kuk Song</t>
  </si>
  <si>
    <t>YANG Chun Song</t>
  </si>
  <si>
    <t>RI Kyong Song</t>
  </si>
  <si>
    <t>GALVA LEBRON Rafael Abraham</t>
  </si>
  <si>
    <t>VEGA BERMUDEZ Joan M</t>
  </si>
  <si>
    <t>COTTO MELENDEZ Brian Anthony</t>
  </si>
  <si>
    <t>RAMOS ANDINO Jose</t>
  </si>
  <si>
    <t>PIZARRO NEGRON Anadjie Luz</t>
  </si>
  <si>
    <t>LOPEZ MORELL Edgardo Juan</t>
  </si>
  <si>
    <t>ORTIZ ROSADO Karoline Stephanie</t>
  </si>
  <si>
    <t>SANTANA ACOSTA Obed</t>
  </si>
  <si>
    <t>AMARU Manuiti</t>
  </si>
  <si>
    <t>ROURA Heiata</t>
  </si>
  <si>
    <t>GYARMATI Ferenc</t>
  </si>
  <si>
    <t>CIMPOERU Marius</t>
  </si>
  <si>
    <t>OLARU Marius</t>
  </si>
  <si>
    <t>PAVELESCU Celestin</t>
  </si>
  <si>
    <t>BERBEC Catalin</t>
  </si>
  <si>
    <t>DIMA Constantin</t>
  </si>
  <si>
    <t>DRAGOS Alexandru Vlad</t>
  </si>
  <si>
    <t>GORJANU Gheorghe Madalin</t>
  </si>
  <si>
    <t>OLTEANU Adrian</t>
  </si>
  <si>
    <t>SZABO David</t>
  </si>
  <si>
    <t>VOICESCU Rares</t>
  </si>
  <si>
    <t>BUZAS Paul-Romario</t>
  </si>
  <si>
    <t>ENE Vlad-Mihai</t>
  </si>
  <si>
    <t>POPESCU Rares</t>
  </si>
  <si>
    <t>STOICA Cristina Ionela</t>
  </si>
  <si>
    <t>MOIGRADEAN Danut-Petrut</t>
  </si>
  <si>
    <t>GILIOMEE Willem Johannes</t>
  </si>
  <si>
    <t>DAVEL Donawan</t>
  </si>
  <si>
    <t>PICCIOLI Margaretha Aletta</t>
  </si>
  <si>
    <t>VAN DER WALT Albert Adolf</t>
  </si>
  <si>
    <t>HAVENGA Alicia</t>
  </si>
  <si>
    <t>MEYER Eben</t>
  </si>
  <si>
    <t>TAUTE Gideon</t>
  </si>
  <si>
    <t>FOURIE Johannes Jacobus</t>
  </si>
  <si>
    <t>BAZULIN Aleksei</t>
  </si>
  <si>
    <t>ARUSTAMIAN Noravard</t>
  </si>
  <si>
    <t>KOVALENKO Sergei</t>
  </si>
  <si>
    <t>YULTIMIROV Boris</t>
  </si>
  <si>
    <t>BUZIN Andrey</t>
  </si>
  <si>
    <t>CHUENKO Aleksandr</t>
  </si>
  <si>
    <t>DIUSHKO Oleg</t>
  </si>
  <si>
    <t>DONSKIKH Alexey</t>
  </si>
  <si>
    <t>GASANOV Gusein</t>
  </si>
  <si>
    <t>GULCHEEV Valerii</t>
  </si>
  <si>
    <t>IBRAGIMOV Abdul-Gani</t>
  </si>
  <si>
    <t>KORSHUNOV Dmitrii</t>
  </si>
  <si>
    <t>LYUBIMOV Vladimir</t>
  </si>
  <si>
    <t>MALKAROV Zeitun</t>
  </si>
  <si>
    <t>NIKOLAEV Nikolay</t>
  </si>
  <si>
    <t>PARKHOMENKO Natalia</t>
  </si>
  <si>
    <t>PASHAEV Tofik</t>
  </si>
  <si>
    <t>PAVLOV Evgenii</t>
  </si>
  <si>
    <t>SOKOLOV Artem</t>
  </si>
  <si>
    <t>TSYRENOV Aleksei</t>
  </si>
  <si>
    <t>VORONIN Pavel</t>
  </si>
  <si>
    <t>ABDULLAEV Magomedrasul</t>
  </si>
  <si>
    <t>ACHKHOTOV Oleg</t>
  </si>
  <si>
    <t>ANTUEV Niiazbeg</t>
  </si>
  <si>
    <t>ARSLANKHANOV Islam</t>
  </si>
  <si>
    <t>BERDNIKOV Evgeny</t>
  </si>
  <si>
    <t>BILIKTUEV Erdem</t>
  </si>
  <si>
    <t>BIMURZAEV Abubakar</t>
  </si>
  <si>
    <t>BUKHTOYAROV Dmitry</t>
  </si>
  <si>
    <t>BUMBOSHKINA Iuliia</t>
  </si>
  <si>
    <t>CHERDONOV Semen</t>
  </si>
  <si>
    <t>CHESHKIN Petr</t>
  </si>
  <si>
    <t>DOLGUSHEV Nikolai</t>
  </si>
  <si>
    <t>GUSEYNOV Ramis</t>
  </si>
  <si>
    <t>ISRAPILOV Gasan</t>
  </si>
  <si>
    <t>KANAEV Egor</t>
  </si>
  <si>
    <t>KARATSEV Alikhan</t>
  </si>
  <si>
    <t>KHOTESHOV Boris</t>
  </si>
  <si>
    <t>KONOPKIN Sergei</t>
  </si>
  <si>
    <t>KURAKAEV Magomed</t>
  </si>
  <si>
    <t>LAZORKA Aleksandr</t>
  </si>
  <si>
    <t>MINIBAEV Almaz</t>
  </si>
  <si>
    <t>MONAKHOV Viacheslav</t>
  </si>
  <si>
    <t>MUKHAMEDINOV Ruslan</t>
  </si>
  <si>
    <t>NECHAEV Roman</t>
  </si>
  <si>
    <t>NEROBEEV Nikolai</t>
  </si>
  <si>
    <t>PAVLOV Vitalii</t>
  </si>
  <si>
    <t>POPENIN Oleg</t>
  </si>
  <si>
    <t>SAYADYAN Gegam</t>
  </si>
  <si>
    <t>SHAROV Pavel</t>
  </si>
  <si>
    <t>STRUCHKOV Konstantin</t>
  </si>
  <si>
    <t>SUCHKOV Aleksandr</t>
  </si>
  <si>
    <t>VILISOV Alexander</t>
  </si>
  <si>
    <t>ZHARINOV Andrey</t>
  </si>
  <si>
    <t>ABDULLAEV Adyl</t>
  </si>
  <si>
    <t>AGABABIAN Feliks</t>
  </si>
  <si>
    <t>ANZHIGANOV Roman</t>
  </si>
  <si>
    <t>APAEV Magomed</t>
  </si>
  <si>
    <t>BAKHTANOV Sergei</t>
  </si>
  <si>
    <t>BALDAEV Dmitrii</t>
  </si>
  <si>
    <t>BARKENKHOEV Israpil</t>
  </si>
  <si>
    <t>BAZAROV Elbyk</t>
  </si>
  <si>
    <t>DARICHEV Iurii</t>
  </si>
  <si>
    <t>DODONOV Andrey</t>
  </si>
  <si>
    <t>DONZALENKO Aleksandr</t>
  </si>
  <si>
    <t>DZHAPARKHANOV Ibragim</t>
  </si>
  <si>
    <t>EMEEV Zurkanay</t>
  </si>
  <si>
    <t>ERMAKOV Igor</t>
  </si>
  <si>
    <t>GADISOV Magomedrasul</t>
  </si>
  <si>
    <t>GALIMZIANOV Vil</t>
  </si>
  <si>
    <t>GASANOV Rishad</t>
  </si>
  <si>
    <t>GILIAZOV Rustam</t>
  </si>
  <si>
    <t>KARELIN Anton</t>
  </si>
  <si>
    <t>KURDIUKOV Andrei</t>
  </si>
  <si>
    <t>KUZMIN Aleksandr</t>
  </si>
  <si>
    <t>LALIEV Georgii</t>
  </si>
  <si>
    <t>MADIEV Imampasha</t>
  </si>
  <si>
    <t>MASHTAKOV Mikhail Sergeevitch</t>
  </si>
  <si>
    <t>MISHCHENKO Alexey</t>
  </si>
  <si>
    <t>MONOV Nikolay</t>
  </si>
  <si>
    <t>NANIEV Zurab Muratovitch</t>
  </si>
  <si>
    <t>NEDZELSKAIA Oksana</t>
  </si>
  <si>
    <t>ORBODOEV Mikhail</t>
  </si>
  <si>
    <t>OSODOEV Kirill</t>
  </si>
  <si>
    <t>PLIEV Aslan</t>
  </si>
  <si>
    <t>PROSHKIN Sergey</t>
  </si>
  <si>
    <t>SAKHIIAEV Sergei</t>
  </si>
  <si>
    <t>SANAA Mengi</t>
  </si>
  <si>
    <t>SHIFRIN Aleksandr</t>
  </si>
  <si>
    <t>SHIKHSHUNATOV Ruslan</t>
  </si>
  <si>
    <t>SHMELEV Sergei</t>
  </si>
  <si>
    <t>SLAEV Konstantin</t>
  </si>
  <si>
    <t>SMIRNOV Andrey</t>
  </si>
  <si>
    <t>SOLOVEV Petr</t>
  </si>
  <si>
    <t>SYCHUGOV Viacheslav</t>
  </si>
  <si>
    <t>VALIEV Imamutdin</t>
  </si>
  <si>
    <t>ZHIRNOVA ELENA</t>
  </si>
  <si>
    <t>NDIONE Wenceslas Demba</t>
  </si>
  <si>
    <t>NDOUR Sitor</t>
  </si>
  <si>
    <t>NGOM Malick</t>
  </si>
  <si>
    <t>BALAMURUGAN Arvin Kumar</t>
  </si>
  <si>
    <t>LOOI Yuan Hui</t>
  </si>
  <si>
    <t>PANOVIC Marko</t>
  </si>
  <si>
    <t>PIPERSKI CUCIC Vesna</t>
  </si>
  <si>
    <t>TOMIC Nemanja</t>
  </si>
  <si>
    <t>TORBICA Nikola</t>
  </si>
  <si>
    <t>IVETIC Marko</t>
  </si>
  <si>
    <t>STEFANEK Daniel</t>
  </si>
  <si>
    <t>TABOROSI Aron</t>
  </si>
  <si>
    <t>BORSOS Laslo</t>
  </si>
  <si>
    <t>BOSKOV Boban</t>
  </si>
  <si>
    <t>DOSEN Ognjen</t>
  </si>
  <si>
    <t>NENADIC Nenad</t>
  </si>
  <si>
    <t>RADOVANOVIC Ilija</t>
  </si>
  <si>
    <t>VUKIC Obrad</t>
  </si>
  <si>
    <t>BUKVIC Nemanja</t>
  </si>
  <si>
    <t>DALUS Luca</t>
  </si>
  <si>
    <t>JOVANOVIC Lazar</t>
  </si>
  <si>
    <t>MILIC Aleksandar</t>
  </si>
  <si>
    <t>NAGY NAD Fanni</t>
  </si>
  <si>
    <t>PAVLICA Jovan</t>
  </si>
  <si>
    <t>STAJER Valdemar</t>
  </si>
  <si>
    <t>THENNE GEDARA Lasantha Pradeep Wijekoon</t>
  </si>
  <si>
    <t>AMBAWALAGE Piyumi Lakshika</t>
  </si>
  <si>
    <t>WASALA MUDIYANSELE KUBURE GEDARA Amith Bandara Weerasinghe</t>
  </si>
  <si>
    <t>WIJESEKARA GAMAACHCHILAGE DON Anupa Udayanga  Gunawardhana</t>
  </si>
  <si>
    <t>EWERT Sven Dominic</t>
  </si>
  <si>
    <t>FAESSLER Alois</t>
  </si>
  <si>
    <t>MAMIE Robin</t>
  </si>
  <si>
    <t>MURER Thomas</t>
  </si>
  <si>
    <t>DAEHLER Patrick</t>
  </si>
  <si>
    <t>MEIER Manuel</t>
  </si>
  <si>
    <t>MURER Markus</t>
  </si>
  <si>
    <t>BULKO Martin</t>
  </si>
  <si>
    <t>VYMAZAL Ivan</t>
  </si>
  <si>
    <t>BERDIS Daniel</t>
  </si>
  <si>
    <t>GARDOS Matej</t>
  </si>
  <si>
    <t>CICHOVSKY Pavol</t>
  </si>
  <si>
    <t>NOVAK Michal</t>
  </si>
  <si>
    <t>SZERENCSES Ladislav</t>
  </si>
  <si>
    <t>SJÖSTRÖM Linn</t>
  </si>
  <si>
    <t>TUVESTAM Daniel</t>
  </si>
  <si>
    <t>JONSSON Christian</t>
  </si>
  <si>
    <t>ÖBERG Lars Fredrik</t>
  </si>
  <si>
    <t>ALOMARI Modher</t>
  </si>
  <si>
    <t>FORS BERNBO Niklas</t>
  </si>
  <si>
    <t>FRID Mahdi</t>
  </si>
  <si>
    <t>LINDBERG Daniel</t>
  </si>
  <si>
    <t>SAFARJAN Grigori</t>
  </si>
  <si>
    <t>GHALIA Salah</t>
  </si>
  <si>
    <t>SALEH Naouzat Mohamad</t>
  </si>
  <si>
    <t>AL FAOURE Mohamad Ibrahim</t>
  </si>
  <si>
    <t>ALHAYEK Mohamad</t>
  </si>
  <si>
    <t>ALKEN Mohamad</t>
  </si>
  <si>
    <t>ALSIBAI Mohamad Nader</t>
  </si>
  <si>
    <t>KADMANI Mazen Adnan</t>
  </si>
  <si>
    <t>WICHIEN Jirawut</t>
  </si>
  <si>
    <t>CHAIKATE Jarong</t>
  </si>
  <si>
    <t>KLAYSUWAN Nitikorn</t>
  </si>
  <si>
    <t>SEEKHWA Nattharinee</t>
  </si>
  <si>
    <t>THATSANAPHONPHISAN Tanavat</t>
  </si>
  <si>
    <t>TONGME Pattana</t>
  </si>
  <si>
    <t>KHONGPAITOOL Akkapon</t>
  </si>
  <si>
    <t>KLAHAN Sunisa</t>
  </si>
  <si>
    <t>KONGKAEW Tanawat</t>
  </si>
  <si>
    <t>ROMYEN Narongsak</t>
  </si>
  <si>
    <t>YUANGSAART Sirirak</t>
  </si>
  <si>
    <t>NARZULLOEV Khabibullo</t>
  </si>
  <si>
    <t>KADYROV Akhmad</t>
  </si>
  <si>
    <t>PIRMUKHAMEDOV Alimamad</t>
  </si>
  <si>
    <t>RAKHMONOV Farrukhruz</t>
  </si>
  <si>
    <t>ABDULKHAEV Sorbon</t>
  </si>
  <si>
    <t>ZAMANMYRADOV Magtymguly</t>
  </si>
  <si>
    <t>ORASHEV Arslan</t>
  </si>
  <si>
    <t>BORJAKOV Batyr</t>
  </si>
  <si>
    <t>KUAN Chih-Wei</t>
  </si>
  <si>
    <t>HSU Chin Shan</t>
  </si>
  <si>
    <t>TSAI Sheng-Liang</t>
  </si>
  <si>
    <t>LEE Chia Ling</t>
  </si>
  <si>
    <t>TSAI Chang Hung</t>
  </si>
  <si>
    <t>CHEN Kuei-Hsiang</t>
  </si>
  <si>
    <t>CHENG Kai Wen</t>
  </si>
  <si>
    <t>NIEN Chen Hsiang</t>
  </si>
  <si>
    <t>PENG Ya Ling</t>
  </si>
  <si>
    <t>SU Wei Zhi</t>
  </si>
  <si>
    <t>TING Chao Yi</t>
  </si>
  <si>
    <t>BOUSLAHI Mohamed</t>
  </si>
  <si>
    <t>KHELIFI Atef</t>
  </si>
  <si>
    <t>SASSI Badreddine</t>
  </si>
  <si>
    <t>ABIDI Montasser</t>
  </si>
  <si>
    <t>SASSI Montassar</t>
  </si>
  <si>
    <t>ZARMEDINI Taieb</t>
  </si>
  <si>
    <t>BELDI Houcine</t>
  </si>
  <si>
    <t>BOUAZIZ Khemais</t>
  </si>
  <si>
    <t>BOUTHOURI Saber</t>
  </si>
  <si>
    <t>DRIDI Marwa</t>
  </si>
  <si>
    <t>FELHI Kais</t>
  </si>
  <si>
    <t>TRAD Saoussen</t>
  </si>
  <si>
    <t>SEN Levent</t>
  </si>
  <si>
    <t>ERDEM Tarik</t>
  </si>
  <si>
    <t>KISHALI Yusuf Sadri</t>
  </si>
  <si>
    <t>YUCEL Mehmet Gurhan</t>
  </si>
  <si>
    <t>APAYDIN Zamir</t>
  </si>
  <si>
    <t>ARI Mehmet</t>
  </si>
  <si>
    <t>CAKICI Bilal</t>
  </si>
  <si>
    <t>CANSIZ Ali</t>
  </si>
  <si>
    <t>CATAL Salih</t>
  </si>
  <si>
    <t>CEKER Abdullah</t>
  </si>
  <si>
    <t>CELIK Ertan</t>
  </si>
  <si>
    <t>EKER Ismail</t>
  </si>
  <si>
    <t>GURSOY Recep</t>
  </si>
  <si>
    <t>ILKIM Mehmet</t>
  </si>
  <si>
    <t>INAN Murat</t>
  </si>
  <si>
    <t>KISHALI Necip Fazil</t>
  </si>
  <si>
    <t>KOCER Ruhi</t>
  </si>
  <si>
    <t>MASTI Ismail</t>
  </si>
  <si>
    <t>OZGUL Safa</t>
  </si>
  <si>
    <t>POLAT Abdullah</t>
  </si>
  <si>
    <t>SAGIROGLU Osman</t>
  </si>
  <si>
    <t>SARI Mehmet</t>
  </si>
  <si>
    <t>SOYALP Mehmet</t>
  </si>
  <si>
    <t>SOYUYÜCE Necip Yalcin</t>
  </si>
  <si>
    <t>SOYUYUCE Omer Kursad</t>
  </si>
  <si>
    <t>TOPBAS Serkan</t>
  </si>
  <si>
    <t>TUNCER Mehmet</t>
  </si>
  <si>
    <t>UNVER Rafet</t>
  </si>
  <si>
    <t>AKSOY Yilmaz</t>
  </si>
  <si>
    <t>APAY Cengiz</t>
  </si>
  <si>
    <t>AY Enes</t>
  </si>
  <si>
    <t>AYILGAN Ercan</t>
  </si>
  <si>
    <t>DAGLAR Abdurrahman</t>
  </si>
  <si>
    <t>GENC Armagan</t>
  </si>
  <si>
    <t>GÖKHAN Mehmet Emre</t>
  </si>
  <si>
    <t>GUL Mehmet</t>
  </si>
  <si>
    <t>GULER Ibrahim Ethem</t>
  </si>
  <si>
    <t>GUVEN Muzaffer</t>
  </si>
  <si>
    <t>KARADAG Haci</t>
  </si>
  <si>
    <t>KARAYAZI Tulay</t>
  </si>
  <si>
    <t>KAYMAK KENGER Merve</t>
  </si>
  <si>
    <t>ÖZTÜRK Hasim Murat</t>
  </si>
  <si>
    <t>POLAT Erkan</t>
  </si>
  <si>
    <t>SAHIN Diktehan</t>
  </si>
  <si>
    <t>UYSAL Alper</t>
  </si>
  <si>
    <t>YILDIZ Sebahattin</t>
  </si>
  <si>
    <t>YILMAZ Arif</t>
  </si>
  <si>
    <t>YILMAZ Aziz</t>
  </si>
  <si>
    <t>YILMAZ Serhan</t>
  </si>
  <si>
    <t>YURUKER Kursad</t>
  </si>
  <si>
    <t>ATILGAN Yusuf</t>
  </si>
  <si>
    <t>CAVUSOGLU Busra</t>
  </si>
  <si>
    <t>CIVAN Mehmet</t>
  </si>
  <si>
    <t>ERDOGAN Osman</t>
  </si>
  <si>
    <t>GUZEL Salim</t>
  </si>
  <si>
    <t>ILKIM Bayram</t>
  </si>
  <si>
    <t>IRMAK Ibrahim</t>
  </si>
  <si>
    <t>KURT Yusuf</t>
  </si>
  <si>
    <t>MERT Murat</t>
  </si>
  <si>
    <t>OKUYUCU Selcuk</t>
  </si>
  <si>
    <t>ÖZTÜRK Erdal</t>
  </si>
  <si>
    <t>SAHIN Suleyman</t>
  </si>
  <si>
    <t>SINEREN Muhammet Ali</t>
  </si>
  <si>
    <t>TASCI Mehmet</t>
  </si>
  <si>
    <t>UZUNOGLU Ramazan</t>
  </si>
  <si>
    <t>YASSIKAYA Sabettin</t>
  </si>
  <si>
    <t>YAVUZ Alisan</t>
  </si>
  <si>
    <t>PAVLOV Roman</t>
  </si>
  <si>
    <t>BUSHULIAK Mykhailo</t>
  </si>
  <si>
    <t>DIACHOK Yurii</t>
  </si>
  <si>
    <t>KULISHENKO Oleksandr</t>
  </si>
  <si>
    <t>KULISHENKO Sergii</t>
  </si>
  <si>
    <t>NAHORNYY Petro</t>
  </si>
  <si>
    <t>SIKNOVENKO Tetiana</t>
  </si>
  <si>
    <t>SYTNIK Vitaliy</t>
  </si>
  <si>
    <t>YAKUBOVSKA OSTAPUK Iryna</t>
  </si>
  <si>
    <t>YEVTYFIIEV Andrii</t>
  </si>
  <si>
    <t>YEZHOV Oleksandr</t>
  </si>
  <si>
    <t>GORBATKO Andriy</t>
  </si>
  <si>
    <t>SOBCHUK Oleh</t>
  </si>
  <si>
    <t>VASKIVSKYI Hryhorii</t>
  </si>
  <si>
    <t>ANDREIEVA Olena</t>
  </si>
  <si>
    <t>BELASH Pavlo</t>
  </si>
  <si>
    <t>GAIRIIAN Nelson</t>
  </si>
  <si>
    <t>GREK Georgiy</t>
  </si>
  <si>
    <t>LOZOVYY Mykhaylo</t>
  </si>
  <si>
    <t>MELANCHENKO Artem</t>
  </si>
  <si>
    <t>ORLIUK Viacheslav</t>
  </si>
  <si>
    <t>PETRUSHKIN Dmytro</t>
  </si>
  <si>
    <t>TELKOVA Ganna</t>
  </si>
  <si>
    <t>ZAIETS Oleksandr</t>
  </si>
  <si>
    <t>GOESSL Casey</t>
  </si>
  <si>
    <t>BABI Jason</t>
  </si>
  <si>
    <t>JULIAN JR Samuel Michael</t>
  </si>
  <si>
    <t>KINDRED Nicholas</t>
  </si>
  <si>
    <t>SYLSTAD Susanna Louise</t>
  </si>
  <si>
    <t>COOK JR Kenneth Gregory</t>
  </si>
  <si>
    <t>GOESSL Cody</t>
  </si>
  <si>
    <t>GREEN BOLICH Ryan Jacob</t>
  </si>
  <si>
    <t>GRUBE Joshua</t>
  </si>
  <si>
    <t>HAYES Holly</t>
  </si>
  <si>
    <t>IVANOVA Maryia</t>
  </si>
  <si>
    <t>KRUGGEL Paul</t>
  </si>
  <si>
    <t>KUISLE Joshua Thomas</t>
  </si>
  <si>
    <t>KUISLE Peter</t>
  </si>
  <si>
    <t>MANCINI Nicholas Anthony</t>
  </si>
  <si>
    <t>MEADORS II Nolan Napoleon</t>
  </si>
  <si>
    <t>MOSCONI Cynthia</t>
  </si>
  <si>
    <t>MULLET Andrew Paul</t>
  </si>
  <si>
    <t>NA Humma</t>
  </si>
  <si>
    <t>PETRYNA Yaroslaw</t>
  </si>
  <si>
    <t>RAMOS Clifford</t>
  </si>
  <si>
    <t>SALLEY Jason</t>
  </si>
  <si>
    <t>SCHWAB Rick Everett</t>
  </si>
  <si>
    <t>SPEELMAN James</t>
  </si>
  <si>
    <t>STINSON James Jr.</t>
  </si>
  <si>
    <t>TAMAYO Leslie Linn</t>
  </si>
  <si>
    <t>VAN HOUTEN Robyn Lynn</t>
  </si>
  <si>
    <t>VENEGAS Adam Benjamin</t>
  </si>
  <si>
    <t>ZOLLINGER Brock</t>
  </si>
  <si>
    <t>ALLEN II Mark Thomas</t>
  </si>
  <si>
    <t>BAKER JR Lewis Charles</t>
  </si>
  <si>
    <t>BENRUD Jarod</t>
  </si>
  <si>
    <t>BOATMAN Chancy Jaden</t>
  </si>
  <si>
    <t>BOOTH Wyatt Jacob</t>
  </si>
  <si>
    <t>CARMICHAEL Nathan Andrew</t>
  </si>
  <si>
    <t>CARRASCO Edgar Felipe</t>
  </si>
  <si>
    <t>CLARY Noah Adam</t>
  </si>
  <si>
    <t>CONLEY JR Lyon Leonardo</t>
  </si>
  <si>
    <t>DAVIS Bryan</t>
  </si>
  <si>
    <t>DELGADO Jose</t>
  </si>
  <si>
    <t>DELUCA Carl Martin</t>
  </si>
  <si>
    <t>DIEP Cameron Allen</t>
  </si>
  <si>
    <t>DORAN Brandon Alan</t>
  </si>
  <si>
    <t>EWALT Allan Joseph</t>
  </si>
  <si>
    <t>FRANDSEN Eric</t>
  </si>
  <si>
    <t>FRIAS Jacob Ryan</t>
  </si>
  <si>
    <t>GALLAGHER Jack</t>
  </si>
  <si>
    <t>GELSINGER Kristopher A</t>
  </si>
  <si>
    <t>GREEN Adam Michael</t>
  </si>
  <si>
    <t>GRUBE Jonathan Douglas</t>
  </si>
  <si>
    <t>HALBIG Dalton Eugene</t>
  </si>
  <si>
    <t>HALBIG Keith</t>
  </si>
  <si>
    <t>HENRY Dwayne</t>
  </si>
  <si>
    <t>KILLERLAIN Jessica A M V</t>
  </si>
  <si>
    <t>KOGER Cody Mitchell</t>
  </si>
  <si>
    <t>KRYGIER Kenneth Leonard</t>
  </si>
  <si>
    <t>LOPEZ CEPERO Laura Kathleen</t>
  </si>
  <si>
    <t>MAHONEY Brad Anthony</t>
  </si>
  <si>
    <t>MORAN Michael Joseph</t>
  </si>
  <si>
    <t>NICELY William Benjamin</t>
  </si>
  <si>
    <t>PIKUL Garrett</t>
  </si>
  <si>
    <t>RUCKDASHEL Madison Catherine</t>
  </si>
  <si>
    <t>SHERROD JR Russell Earl</t>
  </si>
  <si>
    <t>SMITH Derrick Thomas</t>
  </si>
  <si>
    <t>STEVENS Brayden Mitchell</t>
  </si>
  <si>
    <t>TIMBS Kenneth James</t>
  </si>
  <si>
    <t>WILLIAMS Grant Clay</t>
  </si>
  <si>
    <t>ZHANG Fan</t>
  </si>
  <si>
    <t>ALMONY Christian Lee</t>
  </si>
  <si>
    <t>BUSCHOW Dylan Jake</t>
  </si>
  <si>
    <t>CARROLL Michael John</t>
  </si>
  <si>
    <t>DUNCAN Solomon Edward</t>
  </si>
  <si>
    <t>EDMUND Jamish Rohan Abel</t>
  </si>
  <si>
    <t>GRANT William</t>
  </si>
  <si>
    <t>HALBIG Payton Edmund</t>
  </si>
  <si>
    <t>HARRISON Brandon</t>
  </si>
  <si>
    <t>HEDGECOCK Brian</t>
  </si>
  <si>
    <t>HESSER Cody</t>
  </si>
  <si>
    <t>JOHNSON Grant Douglas</t>
  </si>
  <si>
    <t>KROLL Carter Jack</t>
  </si>
  <si>
    <t>KRUGGEL Elizabeth Caroline</t>
  </si>
  <si>
    <t>LEAF Zane Brien</t>
  </si>
  <si>
    <t>LONG Miles Ryan</t>
  </si>
  <si>
    <t>MATTHEWS Sophia Costa</t>
  </si>
  <si>
    <t>MERRILL Alan</t>
  </si>
  <si>
    <t>MILHOAN Todd Everett</t>
  </si>
  <si>
    <t>NAYLOR Aurum Hui-lim</t>
  </si>
  <si>
    <t>NEMATI Sadiqullah</t>
  </si>
  <si>
    <t>NIELAND Jerrad Michael</t>
  </si>
  <si>
    <t>OBRIEN Kevin Michael</t>
  </si>
  <si>
    <t>PRESLEY Annelis Cecilia</t>
  </si>
  <si>
    <t>REDLIN Braeden Philip</t>
  </si>
  <si>
    <t>SAWYER Casey Lee</t>
  </si>
  <si>
    <t>STURTEVANT Joel Frederick</t>
  </si>
  <si>
    <t>TANGPRICHA Jacob Andrew</t>
  </si>
  <si>
    <t>THAMMAVONGSA Parker Phaikham</t>
  </si>
  <si>
    <t>TREXLER August Ron Victor</t>
  </si>
  <si>
    <t>TUCKER Cale Allen</t>
  </si>
  <si>
    <t>VANDER KOPSA Brooks Landas</t>
  </si>
  <si>
    <t>VANHOUTEN Gregory Scott</t>
  </si>
  <si>
    <t>WATKINS Austin Michael</t>
  </si>
  <si>
    <t>WILLIAMS Raheem Tarik</t>
  </si>
  <si>
    <t>ADIZOV Tuymurod</t>
  </si>
  <si>
    <t>ABDULLAEV Khayrulla</t>
  </si>
  <si>
    <t>KHIDOYATOV Eshpulat</t>
  </si>
  <si>
    <t>KUZIEV Sobir</t>
  </si>
  <si>
    <t>ABDIGAPBAROV Naurizbay</t>
  </si>
  <si>
    <t>SABIROV Bakhtiyar</t>
  </si>
  <si>
    <t>AKHMEDOV Mokhirjon</t>
  </si>
  <si>
    <t>IBRAGIMOV Kakhramon</t>
  </si>
  <si>
    <t>KHIDIROV Buribay</t>
  </si>
  <si>
    <t>MASHARIPOVA Khosiyat</t>
  </si>
  <si>
    <t>ODILOV Azam</t>
  </si>
  <si>
    <t>SHERMANOV Ruslan</t>
  </si>
  <si>
    <t>ZAYLOBIDINOV Bobirbek</t>
  </si>
  <si>
    <t>RANGEL Maria Elena</t>
  </si>
  <si>
    <t>CARIPA CASTILLO Yeinny Carolina</t>
  </si>
  <si>
    <t>ABREU Felix</t>
  </si>
  <si>
    <t>CONTRERAS VASQUEZ Jaime De Jesus</t>
  </si>
  <si>
    <t>GONZALEZ MONTILLA Yelmith Coromoto</t>
  </si>
  <si>
    <t>PACHANO ROJAS Julian Jose</t>
  </si>
  <si>
    <t>PALENCIA Luís</t>
  </si>
  <si>
    <t>RIVERA CHIRINOS Alnaldo Jose</t>
  </si>
  <si>
    <t>RODRIGUEZ Eliazar</t>
  </si>
  <si>
    <t>M</t>
  </si>
  <si>
    <t>F</t>
  </si>
  <si>
    <t>GER</t>
  </si>
  <si>
    <t>TUN</t>
  </si>
  <si>
    <t>TUR</t>
  </si>
  <si>
    <t>ALB</t>
  </si>
  <si>
    <t>ALG</t>
  </si>
  <si>
    <t>ARG</t>
  </si>
  <si>
    <t>ARM</t>
  </si>
  <si>
    <t>AUS</t>
  </si>
  <si>
    <t>AUT</t>
  </si>
  <si>
    <t>AZE</t>
  </si>
  <si>
    <t>BEL</t>
  </si>
  <si>
    <t>BLR</t>
  </si>
  <si>
    <t>BOL</t>
  </si>
  <si>
    <t>BRA</t>
  </si>
  <si>
    <t>BUL</t>
  </si>
  <si>
    <t>CAM</t>
  </si>
  <si>
    <t>CAN</t>
  </si>
  <si>
    <t>CHI</t>
  </si>
  <si>
    <t>CHN</t>
  </si>
  <si>
    <t>COL</t>
  </si>
  <si>
    <t>CRO</t>
  </si>
  <si>
    <t>CUB</t>
  </si>
  <si>
    <t>CZE</t>
  </si>
  <si>
    <t>DEN</t>
  </si>
  <si>
    <t>DOM</t>
  </si>
  <si>
    <t>ECU</t>
  </si>
  <si>
    <t>EGY</t>
  </si>
  <si>
    <t>ESA</t>
  </si>
  <si>
    <t>ESP</t>
  </si>
  <si>
    <t>EST</t>
  </si>
  <si>
    <t>FIN</t>
  </si>
  <si>
    <t>FRA</t>
  </si>
  <si>
    <t>GBR</t>
  </si>
  <si>
    <t>GEO</t>
  </si>
  <si>
    <t>GRE</t>
  </si>
  <si>
    <t>GUA</t>
  </si>
  <si>
    <t>HUN</t>
  </si>
  <si>
    <t>INA</t>
  </si>
  <si>
    <t>IND</t>
  </si>
  <si>
    <t>IRI</t>
  </si>
  <si>
    <t>IRQ</t>
  </si>
  <si>
    <t>ISR</t>
  </si>
  <si>
    <t>ITA</t>
  </si>
  <si>
    <t>JOR</t>
  </si>
  <si>
    <t>JPN</t>
  </si>
  <si>
    <t>KAZ</t>
  </si>
  <si>
    <t>KEN</t>
  </si>
  <si>
    <t>KGZ</t>
  </si>
  <si>
    <t>KOR</t>
  </si>
  <si>
    <t>KSA</t>
  </si>
  <si>
    <t>LAO</t>
  </si>
  <si>
    <t>LAT</t>
  </si>
  <si>
    <t>LTU</t>
  </si>
  <si>
    <t>MAR</t>
  </si>
  <si>
    <t>MAS</t>
  </si>
  <si>
    <t>MDA</t>
  </si>
  <si>
    <t>MEX</t>
  </si>
  <si>
    <t>MGL</t>
  </si>
  <si>
    <t>MKD</t>
  </si>
  <si>
    <t>MLT</t>
  </si>
  <si>
    <t>MRI</t>
  </si>
  <si>
    <t>NAM</t>
  </si>
  <si>
    <t>NCA</t>
  </si>
  <si>
    <t>NED</t>
  </si>
  <si>
    <t>NGR</t>
  </si>
  <si>
    <t>NOR</t>
  </si>
  <si>
    <t>NRU</t>
  </si>
  <si>
    <t>NZL</t>
  </si>
  <si>
    <t>PAN</t>
  </si>
  <si>
    <t>PER</t>
  </si>
  <si>
    <t>PHI</t>
  </si>
  <si>
    <t>PLW</t>
  </si>
  <si>
    <t>POL</t>
  </si>
  <si>
    <t>POR</t>
  </si>
  <si>
    <t>PRK</t>
  </si>
  <si>
    <t>PUR</t>
  </si>
  <si>
    <t>PYF</t>
  </si>
  <si>
    <t>ROU</t>
  </si>
  <si>
    <t>RSA</t>
  </si>
  <si>
    <t>RUS</t>
  </si>
  <si>
    <t>SEN</t>
  </si>
  <si>
    <t>SGP</t>
  </si>
  <si>
    <t>SRB</t>
  </si>
  <si>
    <t>SRI</t>
  </si>
  <si>
    <t>SUI</t>
  </si>
  <si>
    <t>SVK</t>
  </si>
  <si>
    <t>SWE</t>
  </si>
  <si>
    <t>SYR</t>
  </si>
  <si>
    <t>THA</t>
  </si>
  <si>
    <t>TJK</t>
  </si>
  <si>
    <t>TKM</t>
  </si>
  <si>
    <t>TPE</t>
  </si>
  <si>
    <t>UKR</t>
  </si>
  <si>
    <t>USA</t>
  </si>
  <si>
    <t>UZB</t>
  </si>
  <si>
    <t>VEN</t>
  </si>
  <si>
    <t>RAB</t>
  </si>
  <si>
    <t>HON</t>
  </si>
  <si>
    <t>II</t>
  </si>
  <si>
    <t>IS</t>
  </si>
  <si>
    <t>I</t>
  </si>
  <si>
    <t>III</t>
  </si>
  <si>
    <t>1972-05-17</t>
  </si>
  <si>
    <t>1961-02-10</t>
  </si>
  <si>
    <t>1968-09-03</t>
  </si>
  <si>
    <t>1989-10-25</t>
  </si>
  <si>
    <t>1996-12-21</t>
  </si>
  <si>
    <t>2001-12-19</t>
  </si>
  <si>
    <t>1967-04-01</t>
  </si>
  <si>
    <t>1979-05-14</t>
  </si>
  <si>
    <t>1973-11-27</t>
  </si>
  <si>
    <t>1974-03-15</t>
  </si>
  <si>
    <t>1979-10-12</t>
  </si>
  <si>
    <t>1977-08-02</t>
  </si>
  <si>
    <t>1984-07-06</t>
  </si>
  <si>
    <t>1967-04-03</t>
  </si>
  <si>
    <t>1995-05-25</t>
  </si>
  <si>
    <t>1984-04-06</t>
  </si>
  <si>
    <t>1984-09-20</t>
  </si>
  <si>
    <t>1991-08-09</t>
  </si>
  <si>
    <t>1984-06-09</t>
  </si>
  <si>
    <t>1984-08-08</t>
  </si>
  <si>
    <t>1984-05-11</t>
  </si>
  <si>
    <t>1982-03-24</t>
  </si>
  <si>
    <t>1986-10-12</t>
  </si>
  <si>
    <t>1997-11-11</t>
  </si>
  <si>
    <t>1969-10-22</t>
  </si>
  <si>
    <t>1998-01-06</t>
  </si>
  <si>
    <t>1974-09-16</t>
  </si>
  <si>
    <t>1968-11-15</t>
  </si>
  <si>
    <t>1994-03-11</t>
  </si>
  <si>
    <t>1980-08-25</t>
  </si>
  <si>
    <t>1987-09-05</t>
  </si>
  <si>
    <t>1990-11-29</t>
  </si>
  <si>
    <t>1986-01-13</t>
  </si>
  <si>
    <t>1994-08-21</t>
  </si>
  <si>
    <t>1977-07-21</t>
  </si>
  <si>
    <t>1981-03-10</t>
  </si>
  <si>
    <t>1982-07-01</t>
  </si>
  <si>
    <t>1988-09-10</t>
  </si>
  <si>
    <t>1985-04-14</t>
  </si>
  <si>
    <t>1980-01-30</t>
  </si>
  <si>
    <t>1984-08-07</t>
  </si>
  <si>
    <t>1982-09-02</t>
  </si>
  <si>
    <t>1969-11-26</t>
  </si>
  <si>
    <t>1972-08-21</t>
  </si>
  <si>
    <t>1969-02-03</t>
  </si>
  <si>
    <t>1986-03-05</t>
  </si>
  <si>
    <t>1967-03-20</t>
  </si>
  <si>
    <t>1995-11-07</t>
  </si>
  <si>
    <t>1987-12-03</t>
  </si>
  <si>
    <t>1981-07-28</t>
  </si>
  <si>
    <t>1989-06-25</t>
  </si>
  <si>
    <t>1981-05-13</t>
  </si>
  <si>
    <t>1992-03-22</t>
  </si>
  <si>
    <t>1986-12-31</t>
  </si>
  <si>
    <t>1985-08-03</t>
  </si>
  <si>
    <t>1978-12-29</t>
  </si>
  <si>
    <t>1968-04-25</t>
  </si>
  <si>
    <t>1994-11-06</t>
  </si>
  <si>
    <t>1982-12-10</t>
  </si>
  <si>
    <t>1986-11-17</t>
  </si>
  <si>
    <t>1980-01-02</t>
  </si>
  <si>
    <t>1984-10-25</t>
  </si>
  <si>
    <t>1988-12-10</t>
  </si>
  <si>
    <t>1989-07-29</t>
  </si>
  <si>
    <t>1998-07-11</t>
  </si>
  <si>
    <t>1981-09-28</t>
  </si>
  <si>
    <t>1984-06-13</t>
  </si>
  <si>
    <t>1986-08-31</t>
  </si>
  <si>
    <t>1981-01-14</t>
  </si>
  <si>
    <t>1984-10-15</t>
  </si>
  <si>
    <t>1984-04-20</t>
  </si>
  <si>
    <t>1987-12-31</t>
  </si>
  <si>
    <t>1984-04-11</t>
  </si>
  <si>
    <t>1995-06-21</t>
  </si>
  <si>
    <t>1999-01-15</t>
  </si>
  <si>
    <t>1980-08-26</t>
  </si>
  <si>
    <t>1967-05-31</t>
  </si>
  <si>
    <t>1977-10-09</t>
  </si>
  <si>
    <t>1969-09-22</t>
  </si>
  <si>
    <t>1978-07-08</t>
  </si>
  <si>
    <t>1980-06-10</t>
  </si>
  <si>
    <t>1971-01-01</t>
  </si>
  <si>
    <t>1971-08-10</t>
  </si>
  <si>
    <t>1967-05-24</t>
  </si>
  <si>
    <t>1981-12-26</t>
  </si>
  <si>
    <t>1979-09-06</t>
  </si>
  <si>
    <t>1998-09-29</t>
  </si>
  <si>
    <t>1974-08-14</t>
  </si>
  <si>
    <t>1975-10-25</t>
  </si>
  <si>
    <t>1987-04-27</t>
  </si>
  <si>
    <t>1995-12-28</t>
  </si>
  <si>
    <t>1997-06-11</t>
  </si>
  <si>
    <t>2004-03-11</t>
  </si>
  <si>
    <t>2005-12-17</t>
  </si>
  <si>
    <t>1995-07-19</t>
  </si>
  <si>
    <t>2003-07-06</t>
  </si>
  <si>
    <t>1975-10-01</t>
  </si>
  <si>
    <t>1977-06-16</t>
  </si>
  <si>
    <t>1969-06-15</t>
  </si>
  <si>
    <t>1986-08-21</t>
  </si>
  <si>
    <t>1968-01-31</t>
  </si>
  <si>
    <t>1972-07-08</t>
  </si>
  <si>
    <t>1973-04-09</t>
  </si>
  <si>
    <t>1992-03-08</t>
  </si>
  <si>
    <t>1982-04-09</t>
  </si>
  <si>
    <t>1972-09-22</t>
  </si>
  <si>
    <t>1979-02-04</t>
  </si>
  <si>
    <t>1978-07-24</t>
  </si>
  <si>
    <t>1994-09-25</t>
  </si>
  <si>
    <t>1986-07-31</t>
  </si>
  <si>
    <t>1995-03-25</t>
  </si>
  <si>
    <t>1966-03-07</t>
  </si>
  <si>
    <t>1992-02-20</t>
  </si>
  <si>
    <t>1986-10-16</t>
  </si>
  <si>
    <t>1985-03-21</t>
  </si>
  <si>
    <t>2000-08-03</t>
  </si>
  <si>
    <t>1968-08-27</t>
  </si>
  <si>
    <t>1986-06-05</t>
  </si>
  <si>
    <t>1985-01-19</t>
  </si>
  <si>
    <t>1998-02-24</t>
  </si>
  <si>
    <t>1978-02-14</t>
  </si>
  <si>
    <t>1974-09-08</t>
  </si>
  <si>
    <t>1985-07-09</t>
  </si>
  <si>
    <t>2003-05-19</t>
  </si>
  <si>
    <t>1985-09-13</t>
  </si>
  <si>
    <t>1981-09-16</t>
  </si>
  <si>
    <t>1971-09-27</t>
  </si>
  <si>
    <t>1980-12-18</t>
  </si>
  <si>
    <t>1981-08-28</t>
  </si>
  <si>
    <t>1969-07-21</t>
  </si>
  <si>
    <t>1983-10-15</t>
  </si>
  <si>
    <t>1987-04-20</t>
  </si>
  <si>
    <t>1976-09-03</t>
  </si>
  <si>
    <t>1973-01-18</t>
  </si>
  <si>
    <t>1974-08-20</t>
  </si>
  <si>
    <t>1979-11-29</t>
  </si>
  <si>
    <t>1986-04-20</t>
  </si>
  <si>
    <t>1971-10-16</t>
  </si>
  <si>
    <t>1986-12-05</t>
  </si>
  <si>
    <t>1967-04-21</t>
  </si>
  <si>
    <t>1977-09-17</t>
  </si>
  <si>
    <t>1966-04-15</t>
  </si>
  <si>
    <t>1992-06-14</t>
  </si>
  <si>
    <t>1971-05-14</t>
  </si>
  <si>
    <t>1992-06-22</t>
  </si>
  <si>
    <t>1981-08-31</t>
  </si>
  <si>
    <t>1984-04-24</t>
  </si>
  <si>
    <t>1986-05-25</t>
  </si>
  <si>
    <t>1986-09-23</t>
  </si>
  <si>
    <t>1987-09-21</t>
  </si>
  <si>
    <t>1996-05-22</t>
  </si>
  <si>
    <t>1992-12-18</t>
  </si>
  <si>
    <t>1988-07-16</t>
  </si>
  <si>
    <t>1987-07-12</t>
  </si>
  <si>
    <t>1992-05-31</t>
  </si>
  <si>
    <t>1979-09-24</t>
  </si>
  <si>
    <t>1985-07-19</t>
  </si>
  <si>
    <t>1989-07-09</t>
  </si>
  <si>
    <t>1979-06-05</t>
  </si>
  <si>
    <t>1995-03-20</t>
  </si>
  <si>
    <t>1982-09-06</t>
  </si>
  <si>
    <t>1973-06-25</t>
  </si>
  <si>
    <t>1988-10-12</t>
  </si>
  <si>
    <t>1983-12-10</t>
  </si>
  <si>
    <t>1978-01-06</t>
  </si>
  <si>
    <t>1980-08-17</t>
  </si>
  <si>
    <t>1988-03-08</t>
  </si>
  <si>
    <t>1971-02-01</t>
  </si>
  <si>
    <t>1982-04-12</t>
  </si>
  <si>
    <t>1986-05-17</t>
  </si>
  <si>
    <t>1989-03-28</t>
  </si>
  <si>
    <t>1989-04-23</t>
  </si>
  <si>
    <t>1983-03-16</t>
  </si>
  <si>
    <t>1983-02-19</t>
  </si>
  <si>
    <t>1983-07-24</t>
  </si>
  <si>
    <t>1986-05-12</t>
  </si>
  <si>
    <t>1993-04-10</t>
  </si>
  <si>
    <t>1990-12-07</t>
  </si>
  <si>
    <t>1993-08-19</t>
  </si>
  <si>
    <t>1990-01-01</t>
  </si>
  <si>
    <t>1988-03-03</t>
  </si>
  <si>
    <t>1985-12-10</t>
  </si>
  <si>
    <t>1973-04-26</t>
  </si>
  <si>
    <t>1993-12-27</t>
  </si>
  <si>
    <t>1986-01-17</t>
  </si>
  <si>
    <t>1998-07-31</t>
  </si>
  <si>
    <t>1986-06-29</t>
  </si>
  <si>
    <t>1996-04-18</t>
  </si>
  <si>
    <t>1979-06-04</t>
  </si>
  <si>
    <t>1997-03-13</t>
  </si>
  <si>
    <t>1967-02-18</t>
  </si>
  <si>
    <t>1973-10-30</t>
  </si>
  <si>
    <t>1991-09-08</t>
  </si>
  <si>
    <t>1985-06-03</t>
  </si>
  <si>
    <t>1996-08-15</t>
  </si>
  <si>
    <t>1987-07-09</t>
  </si>
  <si>
    <t>1976-07-23</t>
  </si>
  <si>
    <t>1995-09-05</t>
  </si>
  <si>
    <t>1970-02-07</t>
  </si>
  <si>
    <t>1971-03-18</t>
  </si>
  <si>
    <t>1995-07-06</t>
  </si>
  <si>
    <t>1989-09-08</t>
  </si>
  <si>
    <t>2005-05-21</t>
  </si>
  <si>
    <t>1986-12-20</t>
  </si>
  <si>
    <t>1973-01-04</t>
  </si>
  <si>
    <t>1980-10-20</t>
  </si>
  <si>
    <t>1980-12-13</t>
  </si>
  <si>
    <t>1966-04-30</t>
  </si>
  <si>
    <t>1980-04-22</t>
  </si>
  <si>
    <t>1983-11-05</t>
  </si>
  <si>
    <t>1974-03-13</t>
  </si>
  <si>
    <t>2003-04-28</t>
  </si>
  <si>
    <t>1978-11-03</t>
  </si>
  <si>
    <t>1974-07-13</t>
  </si>
  <si>
    <t>2002-08-28</t>
  </si>
  <si>
    <t>1991-11-19</t>
  </si>
  <si>
    <t>1967-09-15</t>
  </si>
  <si>
    <t>1982-06-28</t>
  </si>
  <si>
    <t>1999-07-25</t>
  </si>
  <si>
    <t>1994-05-01</t>
  </si>
  <si>
    <t>1994-04-05</t>
  </si>
  <si>
    <t>1994-11-15</t>
  </si>
  <si>
    <t>1990-09-11</t>
  </si>
  <si>
    <t>1978-07-22</t>
  </si>
  <si>
    <t>1984-04-30</t>
  </si>
  <si>
    <t>1989-10-29</t>
  </si>
  <si>
    <t>1977-12-16</t>
  </si>
  <si>
    <t>1982-10-30</t>
  </si>
  <si>
    <t>1972-02-14</t>
  </si>
  <si>
    <t>1985-04-28</t>
  </si>
  <si>
    <t>1985-07-06</t>
  </si>
  <si>
    <t>1982-01-28</t>
  </si>
  <si>
    <t>1980-08-11</t>
  </si>
  <si>
    <t>1976-09-30</t>
  </si>
  <si>
    <t>1971-02-16</t>
  </si>
  <si>
    <t>1966-07-05</t>
  </si>
  <si>
    <t>1990-01-22</t>
  </si>
  <si>
    <t>1978-10-21</t>
  </si>
  <si>
    <t>1982-06-19</t>
  </si>
  <si>
    <t>1979-11-19</t>
  </si>
  <si>
    <t>1979-02-20</t>
  </si>
  <si>
    <t>1977-09-30</t>
  </si>
  <si>
    <t>1970-11-10</t>
  </si>
  <si>
    <t>1977-05-17</t>
  </si>
  <si>
    <t>1970-10-19</t>
  </si>
  <si>
    <t>1980-11-01</t>
  </si>
  <si>
    <t>1979-12-25</t>
  </si>
  <si>
    <t>1984-09-18</t>
  </si>
  <si>
    <t>1988-03-10</t>
  </si>
  <si>
    <t>1978-04-09</t>
  </si>
  <si>
    <t>1986-08-11</t>
  </si>
  <si>
    <t>1981-06-10</t>
  </si>
  <si>
    <t>1984-02-12</t>
  </si>
  <si>
    <t>1980-04-30</t>
  </si>
  <si>
    <t>1974-03-02</t>
  </si>
  <si>
    <t>1992-01-01</t>
  </si>
  <si>
    <t>1990-11-05</t>
  </si>
  <si>
    <t>1980-06-16</t>
  </si>
  <si>
    <t>1980-01-01</t>
  </si>
  <si>
    <t>1987-05-15</t>
  </si>
  <si>
    <t>1967-09-30</t>
  </si>
  <si>
    <t>1985-10-06</t>
  </si>
  <si>
    <t>1985-11-22</t>
  </si>
  <si>
    <t>1996-07-03</t>
  </si>
  <si>
    <t>1973-04-18</t>
  </si>
  <si>
    <t>1991-10-20</t>
  </si>
  <si>
    <t>1983-02-12</t>
  </si>
  <si>
    <t>1985-08-12</t>
  </si>
  <si>
    <t>1991-07-04</t>
  </si>
  <si>
    <t>1982-09-03</t>
  </si>
  <si>
    <t>1977-10-04</t>
  </si>
  <si>
    <t>1983-06-18</t>
  </si>
  <si>
    <t>1985-02-17</t>
  </si>
  <si>
    <t>1984-12-11</t>
  </si>
  <si>
    <t>1990-09-19</t>
  </si>
  <si>
    <t>1982-05-08</t>
  </si>
  <si>
    <t>1993-12-11</t>
  </si>
  <si>
    <t>1985-04-11</t>
  </si>
  <si>
    <t>1995-05-05</t>
  </si>
  <si>
    <t>1996-10-26</t>
  </si>
  <si>
    <t>1988-04-23</t>
  </si>
  <si>
    <t>1969-04-14</t>
  </si>
  <si>
    <t>1989-01-13</t>
  </si>
  <si>
    <t>1977-01-11</t>
  </si>
  <si>
    <t>1983-09-16</t>
  </si>
  <si>
    <t>1974-03-26</t>
  </si>
  <si>
    <t>1991-08-16</t>
  </si>
  <si>
    <t>1982-09-05</t>
  </si>
  <si>
    <t>1984-05-20</t>
  </si>
  <si>
    <t>1986-09-28</t>
  </si>
  <si>
    <t>1981-10-26</t>
  </si>
  <si>
    <t>1982-03-16</t>
  </si>
  <si>
    <t>1983-07-14</t>
  </si>
  <si>
    <t>1983-05-09</t>
  </si>
  <si>
    <t>1991-04-13</t>
  </si>
  <si>
    <t>1986-10-21</t>
  </si>
  <si>
    <t>1973-11-22</t>
  </si>
  <si>
    <t>1970-03-03</t>
  </si>
  <si>
    <t>1980-10-30</t>
  </si>
  <si>
    <t>1989-06-16</t>
  </si>
  <si>
    <t>1991-01-17</t>
  </si>
  <si>
    <t>1974-04-24</t>
  </si>
  <si>
    <t>2000-06-29</t>
  </si>
  <si>
    <t>1990-07-11</t>
  </si>
  <si>
    <t>1997-08-26</t>
  </si>
  <si>
    <t>2004-10-20</t>
  </si>
  <si>
    <t>1989-06-11</t>
  </si>
  <si>
    <t>1976-06-02</t>
  </si>
  <si>
    <t>1974-06-26</t>
  </si>
  <si>
    <t>1979-02-03</t>
  </si>
  <si>
    <t>2000-05-13</t>
  </si>
  <si>
    <t>1979-04-27</t>
  </si>
  <si>
    <t>1986-07-19</t>
  </si>
  <si>
    <t>1983-10-30</t>
  </si>
  <si>
    <t>1986-04-19</t>
  </si>
  <si>
    <t>1978-03-28</t>
  </si>
  <si>
    <t>1989-05-30</t>
  </si>
  <si>
    <t>1966-07-13</t>
  </si>
  <si>
    <t>1990-09-20</t>
  </si>
  <si>
    <t>1981-04-05</t>
  </si>
  <si>
    <t>1966-10-31</t>
  </si>
  <si>
    <t>1982-04-26</t>
  </si>
  <si>
    <t>1994-11-12</t>
  </si>
  <si>
    <t>1994-10-24</t>
  </si>
  <si>
    <t>1975-07-18</t>
  </si>
  <si>
    <t>1979-08-26</t>
  </si>
  <si>
    <t>1985-11-01</t>
  </si>
  <si>
    <t>1979-01-10</t>
  </si>
  <si>
    <t>1991-01-21</t>
  </si>
  <si>
    <t>1971-11-07</t>
  </si>
  <si>
    <t>1982-05-31</t>
  </si>
  <si>
    <t>1982-03-02</t>
  </si>
  <si>
    <t>1995-06-12</t>
  </si>
  <si>
    <t>1999-08-20</t>
  </si>
  <si>
    <t>1990-02-02</t>
  </si>
  <si>
    <t>1981-09-29</t>
  </si>
  <si>
    <t>1988-02-16</t>
  </si>
  <si>
    <t>1992-03-11</t>
  </si>
  <si>
    <t>1993-08-09</t>
  </si>
  <si>
    <t>1979-10-23</t>
  </si>
  <si>
    <t>1978-02-03</t>
  </si>
  <si>
    <t>1970-08-02</t>
  </si>
  <si>
    <t>1985-02-04</t>
  </si>
  <si>
    <t>1975-07-30</t>
  </si>
  <si>
    <t>1982-09-14</t>
  </si>
  <si>
    <t>1974-01-01</t>
  </si>
  <si>
    <t>1978-02-26</t>
  </si>
  <si>
    <t>1998-09-19</t>
  </si>
  <si>
    <t>1971-05-22</t>
  </si>
  <si>
    <t>2003-02-28</t>
  </si>
  <si>
    <t>2006-10-24</t>
  </si>
  <si>
    <t>1978-05-05</t>
  </si>
  <si>
    <t>1986-08-12</t>
  </si>
  <si>
    <t>1980-04-05</t>
  </si>
  <si>
    <t>1969-07-08</t>
  </si>
  <si>
    <t>1984-03-02</t>
  </si>
  <si>
    <t>1972-04-07</t>
  </si>
  <si>
    <t>1985-04-02</t>
  </si>
  <si>
    <t>1978-03-23</t>
  </si>
  <si>
    <t>1970-09-24</t>
  </si>
  <si>
    <t>1990-03-11</t>
  </si>
  <si>
    <t>1982-12-18</t>
  </si>
  <si>
    <t>1995-12-19</t>
  </si>
  <si>
    <t>1971-05-19</t>
  </si>
  <si>
    <t>1969-07-10</t>
  </si>
  <si>
    <t>1985-09-25</t>
  </si>
  <si>
    <t>1988-02-28</t>
  </si>
  <si>
    <t>1998-12-19</t>
  </si>
  <si>
    <t>1993-10-06</t>
  </si>
  <si>
    <t>1978-04-06</t>
  </si>
  <si>
    <t>1968-02-26</t>
  </si>
  <si>
    <t>2002-12-27</t>
  </si>
  <si>
    <t>1969-06-09</t>
  </si>
  <si>
    <t>1974-12-17</t>
  </si>
  <si>
    <t>1983-08-19</t>
  </si>
  <si>
    <t>1966-09-12</t>
  </si>
  <si>
    <t>1994-03-30</t>
  </si>
  <si>
    <t>1992-02-21</t>
  </si>
  <si>
    <t>1973-04-29</t>
  </si>
  <si>
    <t>1981-07-08</t>
  </si>
  <si>
    <t>2000-08-25</t>
  </si>
  <si>
    <t>1974-12-15</t>
  </si>
  <si>
    <t>1980-06-25</t>
  </si>
  <si>
    <t>1990-08-01</t>
  </si>
  <si>
    <t>1998-01-08</t>
  </si>
  <si>
    <t>1969-01-12</t>
  </si>
  <si>
    <t>1976-01-22</t>
  </si>
  <si>
    <t>1989-05-31</t>
  </si>
  <si>
    <t>1981-07-14</t>
  </si>
  <si>
    <t>1988-11-14</t>
  </si>
  <si>
    <t>1969-04-23</t>
  </si>
  <si>
    <t>1990-02-16</t>
  </si>
  <si>
    <t>1998-04-15</t>
  </si>
  <si>
    <t>1990-08-06</t>
  </si>
  <si>
    <t>1994-12-11</t>
  </si>
  <si>
    <t>2001-03-02</t>
  </si>
  <si>
    <t>1998-06-25</t>
  </si>
  <si>
    <t>1993-07-22</t>
  </si>
  <si>
    <t>1993-05-13</t>
  </si>
  <si>
    <t>1996-03-08</t>
  </si>
  <si>
    <t>1989-07-24</t>
  </si>
  <si>
    <t>1984-03-13</t>
  </si>
  <si>
    <t>1979-08-02</t>
  </si>
  <si>
    <t>1969-04-27</t>
  </si>
  <si>
    <t>1976-02-18</t>
  </si>
  <si>
    <t>1969-09-25</t>
  </si>
  <si>
    <t>1967-04-10</t>
  </si>
  <si>
    <t>1989-03-04</t>
  </si>
  <si>
    <t>1972-08-06</t>
  </si>
  <si>
    <t>1989-08-10</t>
  </si>
  <si>
    <t>1989-08-01</t>
  </si>
  <si>
    <t>1991-12-15</t>
  </si>
  <si>
    <t>1970-12-18</t>
  </si>
  <si>
    <t>1993-06-04</t>
  </si>
  <si>
    <t>1992-09-15</t>
  </si>
  <si>
    <t>1991-04-02</t>
  </si>
  <si>
    <t>1993-05-10</t>
  </si>
  <si>
    <t>1980-07-07</t>
  </si>
  <si>
    <t>1994-04-12</t>
  </si>
  <si>
    <t>1988-09-13</t>
  </si>
  <si>
    <t>1988-05-06</t>
  </si>
  <si>
    <t>1980-09-23</t>
  </si>
  <si>
    <t>1984-03-20</t>
  </si>
  <si>
    <t>1993-01-06</t>
  </si>
  <si>
    <t>1981-07-05</t>
  </si>
  <si>
    <t>1992-06-11</t>
  </si>
  <si>
    <t>1992-03-07</t>
  </si>
  <si>
    <t>1996-10-08</t>
  </si>
  <si>
    <t>1973-05-22</t>
  </si>
  <si>
    <t>1968-07-02</t>
  </si>
  <si>
    <t>1989-08-17</t>
  </si>
  <si>
    <t>1986-07-27</t>
  </si>
  <si>
    <t>1979-12-11</t>
  </si>
  <si>
    <t>1979-08-03</t>
  </si>
  <si>
    <t>1981-04-24</t>
  </si>
  <si>
    <t>1984-09-21</t>
  </si>
  <si>
    <t>1977-03-31</t>
  </si>
  <si>
    <t>1980-03-21</t>
  </si>
  <si>
    <t>1976-08-27</t>
  </si>
  <si>
    <t>1977-09-22</t>
  </si>
  <si>
    <t>1982-05-22</t>
  </si>
  <si>
    <t>1984-12-03</t>
  </si>
  <si>
    <t>1987-09-17</t>
  </si>
  <si>
    <t>1970-07-07</t>
  </si>
  <si>
    <t>1989-09-22</t>
  </si>
  <si>
    <t>1974-06-20</t>
  </si>
  <si>
    <t>1981-06-29</t>
  </si>
  <si>
    <t>1990-05-08</t>
  </si>
  <si>
    <t>1987-04-13</t>
  </si>
  <si>
    <t>1986-07-22</t>
  </si>
  <si>
    <t>1972-06-22</t>
  </si>
  <si>
    <t>1980-08-24</t>
  </si>
  <si>
    <t>1985-05-26</t>
  </si>
  <si>
    <t>1982-06-03</t>
  </si>
  <si>
    <t>1979-06-03</t>
  </si>
  <si>
    <t>1984-09-10</t>
  </si>
  <si>
    <t>1979-09-09</t>
  </si>
  <si>
    <t>1975-11-25</t>
  </si>
  <si>
    <t>1976-03-29</t>
  </si>
  <si>
    <t>1975-06-22</t>
  </si>
  <si>
    <t>1973-08-31</t>
  </si>
  <si>
    <t>1978-12-03</t>
  </si>
  <si>
    <t>1978-11-17</t>
  </si>
  <si>
    <t>1982-09-23</t>
  </si>
  <si>
    <t>1989-12-20</t>
  </si>
  <si>
    <t>1974-02-25</t>
  </si>
  <si>
    <t>1974-08-10</t>
  </si>
  <si>
    <t>1983-04-21</t>
  </si>
  <si>
    <t>1973-09-08</t>
  </si>
  <si>
    <t>1969-07-11</t>
  </si>
  <si>
    <t>1985-02-13</t>
  </si>
  <si>
    <t>1968-03-21</t>
  </si>
  <si>
    <t>1978-03-15</t>
  </si>
  <si>
    <t>1972-08-14</t>
  </si>
  <si>
    <t>1978-06-23</t>
  </si>
  <si>
    <t>1992-04-02</t>
  </si>
  <si>
    <t>1974-03-29</t>
  </si>
  <si>
    <t>1981-02-20</t>
  </si>
  <si>
    <t>1981-03-11</t>
  </si>
  <si>
    <t>1976-09-18</t>
  </si>
  <si>
    <t>1983-09-22</t>
  </si>
  <si>
    <t>1981-09-11</t>
  </si>
  <si>
    <t>1981-09-06</t>
  </si>
  <si>
    <t>1976-03-21</t>
  </si>
  <si>
    <t>1977-06-22</t>
  </si>
  <si>
    <t>1977-07-27</t>
  </si>
  <si>
    <t>1978-09-21</t>
  </si>
  <si>
    <t>1981-04-21</t>
  </si>
  <si>
    <t>1983-09-06</t>
  </si>
  <si>
    <t>1971-03-21</t>
  </si>
  <si>
    <t>1969-08-13</t>
  </si>
  <si>
    <t>1979-10-02</t>
  </si>
  <si>
    <t>1980-08-02</t>
  </si>
  <si>
    <t>1969-09-23</t>
  </si>
  <si>
    <t>1985-09-18</t>
  </si>
  <si>
    <t>1989-03-21</t>
  </si>
  <si>
    <t>1981-12-21</t>
  </si>
  <si>
    <t>1986-06-24</t>
  </si>
  <si>
    <t>1969-03-21</t>
  </si>
  <si>
    <t>1982-03-15</t>
  </si>
  <si>
    <t>1979-09-01</t>
  </si>
  <si>
    <t>1968-12-22</t>
  </si>
  <si>
    <t>1975-08-23</t>
  </si>
  <si>
    <t>1991-09-09</t>
  </si>
  <si>
    <t>1977-08-19</t>
  </si>
  <si>
    <t>1980-06-08</t>
  </si>
  <si>
    <t>1975-01-22</t>
  </si>
  <si>
    <t>1967-03-16</t>
  </si>
  <si>
    <t>1969-07-23</t>
  </si>
  <si>
    <t>1979-08-25</t>
  </si>
  <si>
    <t>1983-09-12</t>
  </si>
  <si>
    <t>1985-01-21</t>
  </si>
  <si>
    <t>1978-02-01</t>
  </si>
  <si>
    <t>1980-09-22</t>
  </si>
  <si>
    <t>1991-03-06</t>
  </si>
  <si>
    <t>1983-03-23</t>
  </si>
  <si>
    <t>1977-08-23</t>
  </si>
  <si>
    <t>1982-07-12</t>
  </si>
  <si>
    <t>1985-09-21</t>
  </si>
  <si>
    <t>1984-10-30</t>
  </si>
  <si>
    <t>1975-04-25</t>
  </si>
  <si>
    <t>1970-06-22</t>
  </si>
  <si>
    <t>1972-02-01</t>
  </si>
  <si>
    <t>1983-10-24</t>
  </si>
  <si>
    <t>1977-12-07</t>
  </si>
  <si>
    <t>1974-06-08</t>
  </si>
  <si>
    <t>1976-07-13</t>
  </si>
  <si>
    <t>1977-01-25</t>
  </si>
  <si>
    <t>1985-12-21</t>
  </si>
  <si>
    <t>1971-10-26</t>
  </si>
  <si>
    <t>1981-01-06</t>
  </si>
  <si>
    <t>1973-01-07</t>
  </si>
  <si>
    <t>1976-12-23</t>
  </si>
  <si>
    <t>1984-04-12</t>
  </si>
  <si>
    <t>1980-12-17</t>
  </si>
  <si>
    <t>1988-03-05</t>
  </si>
  <si>
    <t>1994-08-29</t>
  </si>
  <si>
    <t>1984-01-13</t>
  </si>
  <si>
    <t>1993-04-01</t>
  </si>
  <si>
    <t>1988-06-15</t>
  </si>
  <si>
    <t>1973-02-27</t>
  </si>
  <si>
    <t>1990-06-21</t>
  </si>
  <si>
    <t>1990-07-25</t>
  </si>
  <si>
    <t>1978-07-13</t>
  </si>
  <si>
    <t>1970-04-21</t>
  </si>
  <si>
    <t>1988-06-12</t>
  </si>
  <si>
    <t>1976-03-31</t>
  </si>
  <si>
    <t>1984-07-03</t>
  </si>
  <si>
    <t>1993-05-04</t>
  </si>
  <si>
    <t>1992-01-21</t>
  </si>
  <si>
    <t>1967-03-14</t>
  </si>
  <si>
    <t>1996-08-01</t>
  </si>
  <si>
    <t>1984-01-06</t>
  </si>
  <si>
    <t>1984-08-30</t>
  </si>
  <si>
    <t>1970-08-16</t>
  </si>
  <si>
    <t>1984-09-13</t>
  </si>
  <si>
    <t>1998-08-31</t>
  </si>
  <si>
    <t>1980-08-12</t>
  </si>
  <si>
    <t>1986-11-19</t>
  </si>
  <si>
    <t>1995-03-01</t>
  </si>
  <si>
    <t>1966-09-11</t>
  </si>
  <si>
    <t>2001-08-28</t>
  </si>
  <si>
    <t>1988-03-30</t>
  </si>
  <si>
    <t>1974-01-08</t>
  </si>
  <si>
    <t>1983-05-07</t>
  </si>
  <si>
    <t>1978-08-10</t>
  </si>
  <si>
    <t>1984-09-01</t>
  </si>
  <si>
    <t>1977-12-30</t>
  </si>
  <si>
    <t>1985-04-20</t>
  </si>
  <si>
    <t>1990-08-02</t>
  </si>
  <si>
    <t>1987-06-13</t>
  </si>
  <si>
    <t>1987-01-18</t>
  </si>
  <si>
    <t>1982-09-21</t>
  </si>
  <si>
    <t>1995-04-27</t>
  </si>
  <si>
    <t>1975-12-11</t>
  </si>
  <si>
    <t>1971-06-16</t>
  </si>
  <si>
    <t>1968-01-02</t>
  </si>
  <si>
    <t>1986-12-04</t>
  </si>
  <si>
    <t>1968-07-15</t>
  </si>
  <si>
    <t>1968-06-01</t>
  </si>
  <si>
    <t>1969-12-07</t>
  </si>
  <si>
    <t>1976-07-25</t>
  </si>
  <si>
    <t>2002-05-09</t>
  </si>
  <si>
    <t>1983-01-01</t>
  </si>
  <si>
    <t>1975-10-26</t>
  </si>
  <si>
    <t>1996-09-08</t>
  </si>
  <si>
    <t>1987-07-03</t>
  </si>
  <si>
    <t>2001-12-23</t>
  </si>
  <si>
    <t>1996-05-26</t>
  </si>
  <si>
    <t>1980-10-29</t>
  </si>
  <si>
    <t>1982-08-02</t>
  </si>
  <si>
    <t>1975-10-08</t>
  </si>
  <si>
    <t>1973-10-04</t>
  </si>
  <si>
    <t>1976-12-26</t>
  </si>
  <si>
    <t>1972-12-24</t>
  </si>
  <si>
    <t>1982-05-03</t>
  </si>
  <si>
    <t>1977-06-05</t>
  </si>
  <si>
    <t>1983-04-16</t>
  </si>
  <si>
    <t>1983-07-01</t>
  </si>
  <si>
    <t>1978-10-23</t>
  </si>
  <si>
    <t>1987-07-16</t>
  </si>
  <si>
    <t>1973-02-05</t>
  </si>
  <si>
    <t>1986-03-11</t>
  </si>
  <si>
    <t>1993-09-03</t>
  </si>
  <si>
    <t>1970-08-13</t>
  </si>
  <si>
    <t>1978-11-15</t>
  </si>
  <si>
    <t>1973-07-28</t>
  </si>
  <si>
    <t>1971-08-15</t>
  </si>
  <si>
    <t>1985-09-07</t>
  </si>
  <si>
    <t>1983-09-28</t>
  </si>
  <si>
    <t>1973-02-23</t>
  </si>
  <si>
    <t>1973-05-18</t>
  </si>
  <si>
    <t>1978-02-11</t>
  </si>
  <si>
    <t>1975-02-24</t>
  </si>
  <si>
    <t>1982-02-23</t>
  </si>
  <si>
    <t>1999-02-03</t>
  </si>
  <si>
    <t>1988-02-19</t>
  </si>
  <si>
    <t>1980-03-26</t>
  </si>
  <si>
    <t>1990-04-14</t>
  </si>
  <si>
    <t>1985-08-08</t>
  </si>
  <si>
    <t>1991-11-22</t>
  </si>
  <si>
    <t>1977-07-17</t>
  </si>
  <si>
    <t>1984-08-17</t>
  </si>
  <si>
    <t>1991-09-06</t>
  </si>
  <si>
    <t>1976-03-25</t>
  </si>
  <si>
    <t>1982-11-26</t>
  </si>
  <si>
    <t>1976-01-27</t>
  </si>
  <si>
    <t>1969-08-05</t>
  </si>
  <si>
    <t>1994-02-05</t>
  </si>
  <si>
    <t>1979-03-29</t>
  </si>
  <si>
    <t>1989-12-25</t>
  </si>
  <si>
    <t>1987-08-22</t>
  </si>
  <si>
    <t>1995-12-01</t>
  </si>
  <si>
    <t>1984-06-08</t>
  </si>
  <si>
    <t>1984-08-11</t>
  </si>
  <si>
    <t>1989-09-20</t>
  </si>
  <si>
    <t>1987-03-13</t>
  </si>
  <si>
    <t>1984-01-16</t>
  </si>
  <si>
    <t>1978-02-07</t>
  </si>
  <si>
    <t>1975-01-26</t>
  </si>
  <si>
    <t>1981-11-07</t>
  </si>
  <si>
    <t>1981-09-24</t>
  </si>
  <si>
    <t>1983-11-02</t>
  </si>
  <si>
    <t>1994-10-15</t>
  </si>
  <si>
    <t>1976-02-15</t>
  </si>
  <si>
    <t>1983-06-01</t>
  </si>
  <si>
    <t>1988-03-17</t>
  </si>
  <si>
    <t>1971-01-02</t>
  </si>
  <si>
    <t>1989-08-05</t>
  </si>
  <si>
    <t>1975-05-14</t>
  </si>
  <si>
    <t>1985-11-21</t>
  </si>
  <si>
    <t>1979-03-06</t>
  </si>
  <si>
    <t>1972-09-06</t>
  </si>
  <si>
    <t>1984-03-28</t>
  </si>
  <si>
    <t>1992-05-29</t>
  </si>
  <si>
    <t>1993-01-19</t>
  </si>
  <si>
    <t>1985-02-07</t>
  </si>
  <si>
    <t>1976-09-13</t>
  </si>
  <si>
    <t>1990-03-02</t>
  </si>
  <si>
    <t>1986-08-01</t>
  </si>
  <si>
    <t>1990-06-01</t>
  </si>
  <si>
    <t>1993-12-31</t>
  </si>
  <si>
    <t>1995-01-07</t>
  </si>
  <si>
    <t>1997-08-04</t>
  </si>
  <si>
    <t>1991-01-13</t>
  </si>
  <si>
    <t>1992-07-06</t>
  </si>
  <si>
    <t>1993-07-08</t>
  </si>
  <si>
    <t>2000-08-18</t>
  </si>
  <si>
    <t>1979-01-01</t>
  </si>
  <si>
    <t>1987-05-31</t>
  </si>
  <si>
    <t>1986-09-27</t>
  </si>
  <si>
    <t>1982-05-07</t>
  </si>
  <si>
    <t>1986-05-19</t>
  </si>
  <si>
    <t>1969-11-01</t>
  </si>
  <si>
    <t>1966-12-25</t>
  </si>
  <si>
    <t>1979-03-05</t>
  </si>
  <si>
    <t>1981-12-08</t>
  </si>
  <si>
    <t>1972-03-17</t>
  </si>
  <si>
    <t>1976-08-26</t>
  </si>
  <si>
    <t>1981-10-09</t>
  </si>
  <si>
    <t>1970-03-21</t>
  </si>
  <si>
    <t>1982-09-08</t>
  </si>
  <si>
    <t>1992-07-19</t>
  </si>
  <si>
    <t>1973-11-15</t>
  </si>
  <si>
    <t>1984-03-01</t>
  </si>
  <si>
    <t>1971-07-11</t>
  </si>
  <si>
    <t>1974-05-08</t>
  </si>
  <si>
    <t>1979-11-21</t>
  </si>
  <si>
    <t>1985-02-27</t>
  </si>
  <si>
    <t>1976-04-04</t>
  </si>
  <si>
    <t>1976-12-31</t>
  </si>
  <si>
    <t>1977-03-03</t>
  </si>
  <si>
    <t>1984-01-20</t>
  </si>
  <si>
    <t>1987-08-16</t>
  </si>
  <si>
    <t>1981-10-21</t>
  </si>
  <si>
    <t>1985-11-28</t>
  </si>
  <si>
    <t>1969-12-13</t>
  </si>
  <si>
    <t>1988-02-03</t>
  </si>
  <si>
    <t>1985-09-05</t>
  </si>
  <si>
    <t>1985-09-19</t>
  </si>
  <si>
    <t>1984-08-02</t>
  </si>
  <si>
    <t>1982-04-07</t>
  </si>
  <si>
    <t>1973-04-15</t>
  </si>
  <si>
    <t>1966-01-16</t>
  </si>
  <si>
    <t>1980-11-09</t>
  </si>
  <si>
    <t>1985-07-04</t>
  </si>
  <si>
    <t>1967-08-12</t>
  </si>
  <si>
    <t>1973-08-30</t>
  </si>
  <si>
    <t>1975-03-21</t>
  </si>
  <si>
    <t>1982-09-19</t>
  </si>
  <si>
    <t>1977-10-23</t>
  </si>
  <si>
    <t>1967-10-04</t>
  </si>
  <si>
    <t>1980-10-17</t>
  </si>
  <si>
    <t>1974-09-21</t>
  </si>
  <si>
    <t>1977-02-14</t>
  </si>
  <si>
    <t>1982-05-14</t>
  </si>
  <si>
    <t>1983-02-01</t>
  </si>
  <si>
    <t>1985-10-22</t>
  </si>
  <si>
    <t>1982-11-17</t>
  </si>
  <si>
    <t>1980-05-11</t>
  </si>
  <si>
    <t>1984-08-04</t>
  </si>
  <si>
    <t>1997-08-07</t>
  </si>
  <si>
    <t>1981-05-29</t>
  </si>
  <si>
    <t>1986-10-09</t>
  </si>
  <si>
    <t>1990-06-22</t>
  </si>
  <si>
    <t>1983-07-10</t>
  </si>
  <si>
    <t>1999-03-18</t>
  </si>
  <si>
    <t>1988-09-25</t>
  </si>
  <si>
    <t>1986-10-13</t>
  </si>
  <si>
    <t>1986-05-05</t>
  </si>
  <si>
    <t>1997-12-13</t>
  </si>
  <si>
    <t>1982-07-18</t>
  </si>
  <si>
    <t>1981-07-19</t>
  </si>
  <si>
    <t>1968-07-05</t>
  </si>
  <si>
    <t>1981-11-18</t>
  </si>
  <si>
    <t>1967-01-12</t>
  </si>
  <si>
    <t>1970-12-20</t>
  </si>
  <si>
    <t>1967-04-30</t>
  </si>
  <si>
    <t>1993-05-28</t>
  </si>
  <si>
    <t>1991-07-16</t>
  </si>
  <si>
    <t>1986-10-05</t>
  </si>
  <si>
    <t>1967-08-13</t>
  </si>
  <si>
    <t>1984-08-05</t>
  </si>
  <si>
    <t>2003-07-07</t>
  </si>
  <si>
    <t>1985-02-20</t>
  </si>
  <si>
    <t>1987-06-10</t>
  </si>
  <si>
    <t>1974-12-04</t>
  </si>
  <si>
    <t>1988-07-06</t>
  </si>
  <si>
    <t>1988-09-28</t>
  </si>
  <si>
    <t>1974-12-10</t>
  </si>
  <si>
    <t>1991-03-22</t>
  </si>
  <si>
    <t>1978-12-16</t>
  </si>
  <si>
    <t>2000-12-24</t>
  </si>
  <si>
    <t>1985-08-18</t>
  </si>
  <si>
    <t>1984-03-26</t>
  </si>
  <si>
    <t>1981-12-07</t>
  </si>
  <si>
    <t>1999-10-29</t>
  </si>
  <si>
    <t>1993-10-29</t>
  </si>
  <si>
    <t>1997-07-25</t>
  </si>
  <si>
    <t>2002-11-11</t>
  </si>
  <si>
    <t>1990-01-08</t>
  </si>
  <si>
    <t>1970-05-07</t>
  </si>
  <si>
    <t>1984-02-07</t>
  </si>
  <si>
    <t>1988-08-26</t>
  </si>
  <si>
    <t>1975-05-13</t>
  </si>
  <si>
    <t>1976-08-09</t>
  </si>
  <si>
    <t>1991-01-08</t>
  </si>
  <si>
    <t>1999-06-19</t>
  </si>
  <si>
    <t>1986-12-22</t>
  </si>
  <si>
    <t>1977-06-08</t>
  </si>
  <si>
    <t>1984-06-11</t>
  </si>
  <si>
    <t>1974-01-22</t>
  </si>
  <si>
    <t>1972-02-09</t>
  </si>
  <si>
    <t>1983-03-10</t>
  </si>
  <si>
    <t>1987-05-01</t>
  </si>
  <si>
    <t>2004-06-22</t>
  </si>
  <si>
    <t>2002-09-30</t>
  </si>
  <si>
    <t>1995-03-17</t>
  </si>
  <si>
    <t>1990-05-20</t>
  </si>
  <si>
    <t>1992-10-17</t>
  </si>
  <si>
    <t>2000-07-07</t>
  </si>
  <si>
    <t>1997-07-02</t>
  </si>
  <si>
    <t>1996-05-25</t>
  </si>
  <si>
    <t>1985-03-19</t>
  </si>
  <si>
    <t>1986-11-05</t>
  </si>
  <si>
    <t>1978-07-29</t>
  </si>
  <si>
    <t>1983-10-03</t>
  </si>
  <si>
    <t>1981-04-29</t>
  </si>
  <si>
    <t>1977-07-24</t>
  </si>
  <si>
    <t>1982-02-16</t>
  </si>
  <si>
    <t>1974-12-28</t>
  </si>
  <si>
    <t>1989-01-27</t>
  </si>
  <si>
    <t>1984-01-09</t>
  </si>
  <si>
    <t>1966-04-26</t>
  </si>
  <si>
    <t>1978-10-30</t>
  </si>
  <si>
    <t>1975-10-29</t>
  </si>
  <si>
    <t>1972-03-21</t>
  </si>
  <si>
    <t>1982-10-20</t>
  </si>
  <si>
    <t>1985-04-30</t>
  </si>
  <si>
    <t>1978-04-01</t>
  </si>
  <si>
    <t>1975-12-01</t>
  </si>
  <si>
    <t>1991-05-01</t>
  </si>
  <si>
    <t>1988-05-15</t>
  </si>
  <si>
    <t>1975-07-02</t>
  </si>
  <si>
    <t>1977-12-01</t>
  </si>
  <si>
    <t>2001-01-13</t>
  </si>
  <si>
    <t>2000-08-29</t>
  </si>
  <si>
    <t>1995-03-29</t>
  </si>
  <si>
    <t>1997-03-31</t>
  </si>
  <si>
    <t>1998-02-07</t>
  </si>
  <si>
    <t>1982-01-31</t>
  </si>
  <si>
    <t>1997-11-14</t>
  </si>
  <si>
    <t>1981-08-13</t>
  </si>
  <si>
    <t>2003-09-25</t>
  </si>
  <si>
    <t>1978-05-22</t>
  </si>
  <si>
    <t>1983-06-21</t>
  </si>
  <si>
    <t>1987-05-11</t>
  </si>
  <si>
    <t>1973-03-15</t>
  </si>
  <si>
    <t>1971-03-10</t>
  </si>
  <si>
    <t>1968-04-18</t>
  </si>
  <si>
    <t>1983-03-26</t>
  </si>
  <si>
    <t>1983-12-03</t>
  </si>
  <si>
    <t>1980-06-18</t>
  </si>
  <si>
    <t>1994-11-26</t>
  </si>
  <si>
    <t>1979-10-07</t>
  </si>
  <si>
    <t>1991-05-25</t>
  </si>
  <si>
    <t>1982-03-30</t>
  </si>
  <si>
    <t>1985-10-26</t>
  </si>
  <si>
    <t>1979-08-05</t>
  </si>
  <si>
    <t>1988-11-02</t>
  </si>
  <si>
    <t>1979-01-26</t>
  </si>
  <si>
    <t>1981-01-31</t>
  </si>
  <si>
    <t>1979-04-09</t>
  </si>
  <si>
    <t>1980-07-24</t>
  </si>
  <si>
    <t>1983-01-13</t>
  </si>
  <si>
    <t>1966-08-31</t>
  </si>
  <si>
    <t>1966-07-30</t>
  </si>
  <si>
    <t>1991-07-31</t>
  </si>
  <si>
    <t>1975-11-30</t>
  </si>
  <si>
    <t>1967-02-13</t>
  </si>
  <si>
    <t>1993-03-27</t>
  </si>
  <si>
    <t>1983-12-01</t>
  </si>
  <si>
    <t>1982-06-08</t>
  </si>
  <si>
    <t>1971-09-25</t>
  </si>
  <si>
    <t>1987-07-13</t>
  </si>
  <si>
    <t>1983-11-08</t>
  </si>
  <si>
    <t>1988-07-02</t>
  </si>
  <si>
    <t>1984-07-19</t>
  </si>
  <si>
    <t>1987-11-06</t>
  </si>
  <si>
    <t>1984-03-18</t>
  </si>
  <si>
    <t>1984-09-16</t>
  </si>
  <si>
    <t>1982-08-23</t>
  </si>
  <si>
    <t>1979-02-14</t>
  </si>
  <si>
    <t>1996-04-14</t>
  </si>
  <si>
    <t>1983-10-23</t>
  </si>
  <si>
    <t>1997-02-10</t>
  </si>
  <si>
    <t>1991-06-07</t>
  </si>
  <si>
    <t>2001-10-29</t>
  </si>
  <si>
    <t>1971-10-25</t>
  </si>
  <si>
    <t>1984-01-05</t>
  </si>
  <si>
    <t>1983-06-17</t>
  </si>
  <si>
    <t>1974-05-06</t>
  </si>
  <si>
    <t>1972-09-21</t>
  </si>
  <si>
    <t>1967-01-10</t>
  </si>
  <si>
    <t>1979-06-18</t>
  </si>
  <si>
    <t>1979-10-09</t>
  </si>
  <si>
    <t>1978-09-30</t>
  </si>
  <si>
    <t>1990-01-31</t>
  </si>
  <si>
    <t>1968-01-11</t>
  </si>
  <si>
    <t>1977-10-18</t>
  </si>
  <si>
    <t>1996-08-03</t>
  </si>
  <si>
    <t>1983-06-15</t>
  </si>
  <si>
    <t>1997-02-14</t>
  </si>
  <si>
    <t>1985-07-14</t>
  </si>
  <si>
    <t>1995-06-19</t>
  </si>
  <si>
    <t>1981-02-01</t>
  </si>
  <si>
    <t>1987-10-14</t>
  </si>
  <si>
    <t>1980-10-02</t>
  </si>
  <si>
    <t>1986-08-18</t>
  </si>
  <si>
    <t>2001-09-18</t>
  </si>
  <si>
    <t>1994-09-21</t>
  </si>
  <si>
    <t>1990-07-18</t>
  </si>
  <si>
    <t>1976-05-25</t>
  </si>
  <si>
    <t>1974-11-28</t>
  </si>
  <si>
    <t>1967-06-04</t>
  </si>
  <si>
    <t>1983-06-06</t>
  </si>
  <si>
    <t>1967-09-16</t>
  </si>
  <si>
    <t>1973-02-10</t>
  </si>
  <si>
    <t>1972-05-07</t>
  </si>
  <si>
    <t>1969-07-03</t>
  </si>
  <si>
    <t>1980-12-28</t>
  </si>
  <si>
    <t>1972-07-25</t>
  </si>
  <si>
    <t>1981-04-07</t>
  </si>
  <si>
    <t>1981-04-23</t>
  </si>
  <si>
    <t>1989-02-25</t>
  </si>
  <si>
    <t>1972-06-20</t>
  </si>
  <si>
    <t>1974-01-27</t>
  </si>
  <si>
    <t>1978-08-11</t>
  </si>
  <si>
    <t>1983-08-06</t>
  </si>
  <si>
    <t>1967-11-05</t>
  </si>
  <si>
    <t>1982-12-15</t>
  </si>
  <si>
    <t>1968-06-16</t>
  </si>
  <si>
    <t>1970-06-05</t>
  </si>
  <si>
    <t>1987-10-06</t>
  </si>
  <si>
    <t>1982-03-05</t>
  </si>
  <si>
    <t>1980-07-21</t>
  </si>
  <si>
    <t>1992-10-14</t>
  </si>
  <si>
    <t>1983-07-19</t>
  </si>
  <si>
    <t>1987-07-05</t>
  </si>
  <si>
    <t>1978-08-26</t>
  </si>
  <si>
    <t>1971-12-06</t>
  </si>
  <si>
    <t>1975-01-13</t>
  </si>
  <si>
    <t>1977-09-01</t>
  </si>
  <si>
    <t>1988-03-04</t>
  </si>
  <si>
    <t>1972-05-18</t>
  </si>
  <si>
    <t>1974-04-16</t>
  </si>
  <si>
    <t>1984-01-24</t>
  </si>
  <si>
    <t>1991-10-19</t>
  </si>
  <si>
    <t>1982-10-01</t>
  </si>
  <si>
    <t>1974-08-23</t>
  </si>
  <si>
    <t>1987-09-14</t>
  </si>
  <si>
    <t>1972-04-30</t>
  </si>
  <si>
    <t>1982-10-02</t>
  </si>
  <si>
    <t>1974-09-27</t>
  </si>
  <si>
    <t>1982-03-19</t>
  </si>
  <si>
    <t>1985-11-06</t>
  </si>
  <si>
    <t>1968-12-29</t>
  </si>
  <si>
    <t>1977-02-18</t>
  </si>
  <si>
    <t>1969-03-12</t>
  </si>
  <si>
    <t>2001-07-07</t>
  </si>
  <si>
    <t>1983-07-20</t>
  </si>
  <si>
    <t>1978-07-31</t>
  </si>
  <si>
    <t>1989-09-17</t>
  </si>
  <si>
    <t>1985-09-08</t>
  </si>
  <si>
    <t>1978-11-14</t>
  </si>
  <si>
    <t>1985-07-21</t>
  </si>
  <si>
    <t>1979-07-02</t>
  </si>
  <si>
    <t>1981-04-12</t>
  </si>
  <si>
    <t>1970-06-07</t>
  </si>
  <si>
    <t>1980-04-02</t>
  </si>
  <si>
    <t>1969-06-02</t>
  </si>
  <si>
    <t>1969-11-23</t>
  </si>
  <si>
    <t>1985-10-27</t>
  </si>
  <si>
    <t>1987-06-02</t>
  </si>
  <si>
    <t>1981-01-03</t>
  </si>
  <si>
    <t>1984-05-15</t>
  </si>
  <si>
    <t>1979-09-16</t>
  </si>
  <si>
    <t>1973-02-22</t>
  </si>
  <si>
    <t>1984-01-19</t>
  </si>
  <si>
    <t>1986-02-18</t>
  </si>
  <si>
    <t>1972-01-17</t>
  </si>
  <si>
    <t>1985-09-16</t>
  </si>
  <si>
    <t>1991-12-10</t>
  </si>
  <si>
    <t>1984-10-13</t>
  </si>
  <si>
    <t>1974-03-06</t>
  </si>
  <si>
    <t>1982-07-03</t>
  </si>
  <si>
    <t>1970-01-12</t>
  </si>
  <si>
    <t>1987-02-04</t>
  </si>
  <si>
    <t>1978-04-13</t>
  </si>
  <si>
    <t>1977-07-22</t>
  </si>
  <si>
    <t>1977-07-13</t>
  </si>
  <si>
    <t>1986-05-23</t>
  </si>
  <si>
    <t>1974-07-10</t>
  </si>
  <si>
    <t>1976-12-02</t>
  </si>
  <si>
    <t>1968-08-12</t>
  </si>
  <si>
    <t>1985-08-17</t>
  </si>
  <si>
    <t>1978-05-26</t>
  </si>
  <si>
    <t>1974-06-29</t>
  </si>
  <si>
    <t>1971-08-26</t>
  </si>
  <si>
    <t>1977-02-10</t>
  </si>
  <si>
    <t>1994-04-14</t>
  </si>
  <si>
    <t>1988-05-03</t>
  </si>
  <si>
    <t>1982-10-11</t>
  </si>
  <si>
    <t>1976-03-27</t>
  </si>
  <si>
    <t>1992-01-30</t>
  </si>
  <si>
    <t>1978-02-23</t>
  </si>
  <si>
    <t>1985-10-12</t>
  </si>
  <si>
    <t>1981-11-26</t>
  </si>
  <si>
    <t>1986-06-12</t>
  </si>
  <si>
    <t>1975-08-02</t>
  </si>
  <si>
    <t>1986-09-24</t>
  </si>
  <si>
    <t>1995-08-21</t>
  </si>
  <si>
    <t>1976-10-14</t>
  </si>
  <si>
    <t>1993-04-17</t>
  </si>
  <si>
    <t>2002-09-19</t>
  </si>
  <si>
    <t>2000-05-18</t>
  </si>
  <si>
    <t>2003-06-16</t>
  </si>
  <si>
    <t>2001-08-16</t>
  </si>
  <si>
    <t>1996-03-07</t>
  </si>
  <si>
    <t>2000-07-13</t>
  </si>
  <si>
    <t>2003-01-22</t>
  </si>
  <si>
    <t>1988-01-29</t>
  </si>
  <si>
    <t>1991-08-30</t>
  </si>
  <si>
    <t>1986-01-12</t>
  </si>
  <si>
    <t>1992-07-25</t>
  </si>
  <si>
    <t>1985-12-19</t>
  </si>
  <si>
    <t>1976-05-05</t>
  </si>
  <si>
    <t>1994-07-25</t>
  </si>
  <si>
    <t>1981-06-20</t>
  </si>
  <si>
    <t>1981-04-03</t>
  </si>
  <si>
    <t>2003-10-23</t>
  </si>
  <si>
    <t>1984-08-14</t>
  </si>
  <si>
    <t>1987-05-12</t>
  </si>
  <si>
    <t>1978-06-02</t>
  </si>
  <si>
    <t>1989-11-03</t>
  </si>
  <si>
    <t>1978-04-12</t>
  </si>
  <si>
    <t>1983-01-24</t>
  </si>
  <si>
    <t>1996-02-28</t>
  </si>
  <si>
    <t>1977-08-26</t>
  </si>
  <si>
    <t>1979-05-26</t>
  </si>
  <si>
    <t>1975-04-02</t>
  </si>
  <si>
    <t>1993-10-17</t>
  </si>
  <si>
    <t>1968-04-28</t>
  </si>
  <si>
    <t>1995-05-16</t>
  </si>
  <si>
    <t>1997-01-13</t>
  </si>
  <si>
    <t>1989-03-06</t>
  </si>
  <si>
    <t>1994-02-07</t>
  </si>
  <si>
    <t>1977-06-01</t>
  </si>
  <si>
    <t>1982-01-10</t>
  </si>
  <si>
    <t>1971-05-01</t>
  </si>
  <si>
    <t>1976-05-20</t>
  </si>
  <si>
    <t>1969-01-05</t>
  </si>
  <si>
    <t>1979-01-02</t>
  </si>
  <si>
    <t>1974-01-06</t>
  </si>
  <si>
    <t>1980-03-16</t>
  </si>
  <si>
    <t>1976-06-16</t>
  </si>
  <si>
    <t>1985-12-03</t>
  </si>
  <si>
    <t>1990-03-13</t>
  </si>
  <si>
    <t>1984-10-31</t>
  </si>
  <si>
    <t>1995-11-12</t>
  </si>
  <si>
    <t>1970-04-29</t>
  </si>
  <si>
    <t>1988-11-21</t>
  </si>
  <si>
    <t>1973-02-01</t>
  </si>
  <si>
    <t>1996-05-31</t>
  </si>
  <si>
    <t>1981-11-14</t>
  </si>
  <si>
    <t>1994-03-28</t>
  </si>
  <si>
    <t>1989-02-27</t>
  </si>
  <si>
    <t>1993-09-13</t>
  </si>
  <si>
    <t>1983-12-07</t>
  </si>
  <si>
    <t>1968-07-03</t>
  </si>
  <si>
    <t>2000-09-12</t>
  </si>
  <si>
    <t>2001-12-22</t>
  </si>
  <si>
    <t>1973-03-14</t>
  </si>
  <si>
    <t>1989-03-12</t>
  </si>
  <si>
    <t>2002-10-11</t>
  </si>
  <si>
    <t>1999-07-31</t>
  </si>
  <si>
    <t>1997-08-29</t>
  </si>
  <si>
    <t>1984-04-22</t>
  </si>
  <si>
    <t>1981-03-12</t>
  </si>
  <si>
    <t>1975-11-15</t>
  </si>
  <si>
    <t>1982-08-22</t>
  </si>
  <si>
    <t>1987-02-12</t>
  </si>
  <si>
    <t>1968-11-01</t>
  </si>
  <si>
    <t>1986-04-03</t>
  </si>
  <si>
    <t>1966-03-31</t>
  </si>
  <si>
    <t>1989-02-09</t>
  </si>
  <si>
    <t>1995-10-05</t>
  </si>
  <si>
    <t>1982-06-06</t>
  </si>
  <si>
    <t>1984-01-25</t>
  </si>
  <si>
    <t>1974-01-02</t>
  </si>
  <si>
    <t>1973-12-19</t>
  </si>
  <si>
    <t>1975-03-05</t>
  </si>
  <si>
    <t>1982-06-22</t>
  </si>
  <si>
    <t>1975-03-12</t>
  </si>
  <si>
    <t>1972-06-23</t>
  </si>
  <si>
    <t>1974-12-16</t>
  </si>
  <si>
    <t>1969-08-03</t>
  </si>
  <si>
    <t>1975-07-29</t>
  </si>
  <si>
    <t>1970-07-24</t>
  </si>
  <si>
    <t>1984-06-25</t>
  </si>
  <si>
    <t>1974-10-01</t>
  </si>
  <si>
    <t>1972-05-05</t>
  </si>
  <si>
    <t>1970-04-01</t>
  </si>
  <si>
    <t>1974-03-12</t>
  </si>
  <si>
    <t>1969-11-06</t>
  </si>
  <si>
    <t>1970-04-10</t>
  </si>
  <si>
    <t>1973-03-11</t>
  </si>
  <si>
    <t>1980-12-01</t>
  </si>
  <si>
    <t>1971-04-14</t>
  </si>
  <si>
    <t>1971-04-01</t>
  </si>
  <si>
    <t>1975-05-25</t>
  </si>
  <si>
    <t>1978-03-01</t>
  </si>
  <si>
    <t>1972-02-11</t>
  </si>
  <si>
    <t>1982-10-25</t>
  </si>
  <si>
    <t>1967-12-05</t>
  </si>
  <si>
    <t>1969-05-03</t>
  </si>
  <si>
    <t>1990-11-01</t>
  </si>
  <si>
    <t>1978-08-18</t>
  </si>
  <si>
    <t>1971-07-25</t>
  </si>
  <si>
    <t>1966-12-10</t>
  </si>
  <si>
    <t>1982-09-29</t>
  </si>
  <si>
    <t>1985-03-20</t>
  </si>
  <si>
    <t>1967-04-24</t>
  </si>
  <si>
    <t>1966-09-13</t>
  </si>
  <si>
    <t>1993-10-10</t>
  </si>
  <si>
    <t>1973-05-03</t>
  </si>
  <si>
    <t>1980-06-26</t>
  </si>
  <si>
    <t>1979-02-15</t>
  </si>
  <si>
    <t>1975-12-22</t>
  </si>
  <si>
    <t>1974-06-01</t>
  </si>
  <si>
    <t>1976-02-01</t>
  </si>
  <si>
    <t>1990-01-23</t>
  </si>
  <si>
    <t>1979-07-27</t>
  </si>
  <si>
    <t>1974-11-13</t>
  </si>
  <si>
    <t>1967-09-01</t>
  </si>
  <si>
    <t>1993-03-26</t>
  </si>
  <si>
    <t>1981-03-03</t>
  </si>
  <si>
    <t>1989-05-04</t>
  </si>
  <si>
    <t>1973-11-01</t>
  </si>
  <si>
    <t>1989-02-16</t>
  </si>
  <si>
    <t>1980-05-26</t>
  </si>
  <si>
    <t>1976-06-04</t>
  </si>
  <si>
    <t>1974-06-10</t>
  </si>
  <si>
    <t>1986-01-05</t>
  </si>
  <si>
    <t>1980-05-15</t>
  </si>
  <si>
    <t>1975-01-01</t>
  </si>
  <si>
    <t>1980-04-26</t>
  </si>
  <si>
    <t>1985-07-18</t>
  </si>
  <si>
    <t>1978-11-29</t>
  </si>
  <si>
    <t>1974-06-11</t>
  </si>
  <si>
    <t>1984-07-15</t>
  </si>
  <si>
    <t>1993-08-18</t>
  </si>
  <si>
    <t>1970-01-04</t>
  </si>
  <si>
    <t>1986-11-26</t>
  </si>
  <si>
    <t>1972-12-25</t>
  </si>
  <si>
    <t>1983-01-18</t>
  </si>
  <si>
    <t>1981-03-06</t>
  </si>
  <si>
    <t>1986-12-10</t>
  </si>
  <si>
    <t>1986-07-13</t>
  </si>
  <si>
    <t>1992-11-18</t>
  </si>
  <si>
    <t>1982-04-23</t>
  </si>
  <si>
    <t>1985-10-05</t>
  </si>
  <si>
    <t>1991-03-11</t>
  </si>
  <si>
    <t>1988-06-03</t>
  </si>
  <si>
    <t>1986-09-21</t>
  </si>
  <si>
    <t>1992-08-01</t>
  </si>
  <si>
    <t>1977-02-13</t>
  </si>
  <si>
    <t>1979-01-14</t>
  </si>
  <si>
    <t>1985-07-16</t>
  </si>
  <si>
    <t>1979-12-18</t>
  </si>
  <si>
    <t>1994-06-29</t>
  </si>
  <si>
    <t>1995-02-11</t>
  </si>
  <si>
    <t>1984-11-21</t>
  </si>
  <si>
    <t>1998-12-07</t>
  </si>
  <si>
    <t>1988-03-09</t>
  </si>
  <si>
    <t>1985-03-05</t>
  </si>
  <si>
    <t>1968-12-01</t>
  </si>
  <si>
    <t>1980-11-22</t>
  </si>
  <si>
    <t>1982-11-30</t>
  </si>
  <si>
    <t>1995-05-11</t>
  </si>
  <si>
    <t>1992-11-05</t>
  </si>
  <si>
    <t>1974-07-21</t>
  </si>
  <si>
    <t>1987-12-18</t>
  </si>
  <si>
    <t>1990-04-01</t>
  </si>
  <si>
    <t>1979-12-26</t>
  </si>
  <si>
    <t>1977-01-24</t>
  </si>
  <si>
    <t>1981-09-22</t>
  </si>
  <si>
    <t>1968-01-07</t>
  </si>
  <si>
    <t>1980-07-15</t>
  </si>
  <si>
    <t>1992-07-30</t>
  </si>
  <si>
    <t>1989-12-27</t>
  </si>
  <si>
    <t>1985-04-10</t>
  </si>
  <si>
    <t>1994-12-16</t>
  </si>
  <si>
    <t>1987-03-06</t>
  </si>
  <si>
    <t>1976-08-18</t>
  </si>
  <si>
    <t>1996-05-12</t>
  </si>
  <si>
    <t>1993-07-09</t>
  </si>
  <si>
    <t>1994-11-29</t>
  </si>
  <si>
    <t>1988-10-23</t>
  </si>
  <si>
    <t>1999-09-01</t>
  </si>
  <si>
    <t>1997-03-07</t>
  </si>
  <si>
    <t>1976-11-05</t>
  </si>
  <si>
    <t>1971-09-10</t>
  </si>
  <si>
    <t>1989-11-17</t>
  </si>
  <si>
    <t>1997-09-10</t>
  </si>
  <si>
    <t>1984-08-23</t>
  </si>
  <si>
    <t>2000-01-11</t>
  </si>
  <si>
    <t>1983-01-12</t>
  </si>
  <si>
    <t>1988-03-31</t>
  </si>
  <si>
    <t>1968-08-13</t>
  </si>
  <si>
    <t>1981-11-12</t>
  </si>
  <si>
    <t>1997-09-03</t>
  </si>
  <si>
    <t>1994-07-11</t>
  </si>
  <si>
    <t>1994-02-18</t>
  </si>
  <si>
    <t>1967-02-01</t>
  </si>
  <si>
    <t>1988-09-07</t>
  </si>
  <si>
    <t>1992-05-09</t>
  </si>
  <si>
    <t>1997-09-08</t>
  </si>
  <si>
    <t>1984-11-17</t>
  </si>
  <si>
    <t>1985-11-12</t>
  </si>
  <si>
    <t>2003-04-16</t>
  </si>
  <si>
    <t>2001-07-18</t>
  </si>
  <si>
    <t>1987-10-26</t>
  </si>
  <si>
    <t>1998-08-06</t>
  </si>
  <si>
    <t>2000-03-10</t>
  </si>
  <si>
    <t>1986-11-04</t>
  </si>
  <si>
    <t>1999-11-30</t>
  </si>
  <si>
    <t>1981-01-15</t>
  </si>
  <si>
    <t>1996-08-08</t>
  </si>
  <si>
    <t>1977-02-21</t>
  </si>
  <si>
    <t>1997-03-21</t>
  </si>
  <si>
    <t>1997-07-16</t>
  </si>
  <si>
    <t>1980-06-13</t>
  </si>
  <si>
    <t>1997-11-22</t>
  </si>
  <si>
    <t>1994-09-03</t>
  </si>
  <si>
    <t>1966-02-06</t>
  </si>
  <si>
    <t>1998-09-04</t>
  </si>
  <si>
    <t>1992-02-09</t>
  </si>
  <si>
    <t>1967-06-28</t>
  </si>
  <si>
    <t>1986-05-31</t>
  </si>
  <si>
    <t>2003-06-17</t>
  </si>
  <si>
    <t>1992-08-07</t>
  </si>
  <si>
    <t>2003-08-17</t>
  </si>
  <si>
    <t>1969-09-16</t>
  </si>
  <si>
    <t>1979-07-08</t>
  </si>
  <si>
    <t>1996-01-05</t>
  </si>
  <si>
    <t>1989-11-06</t>
  </si>
  <si>
    <t>1995-08-01</t>
  </si>
  <si>
    <t>1988-11-22</t>
  </si>
  <si>
    <t>1996-07-19</t>
  </si>
  <si>
    <t>1999-07-15</t>
  </si>
  <si>
    <t>1990-07-12</t>
  </si>
  <si>
    <t>1983-06-27</t>
  </si>
  <si>
    <t>2004-06-30</t>
  </si>
  <si>
    <t>2004-01-28</t>
  </si>
  <si>
    <t>1987-03-31</t>
  </si>
  <si>
    <t>2005-04-04</t>
  </si>
  <si>
    <t>1988-05-13</t>
  </si>
  <si>
    <t>1985-10-15</t>
  </si>
  <si>
    <t>2000-05-09</t>
  </si>
  <si>
    <t>1998-04-29</t>
  </si>
  <si>
    <t>1984-06-04</t>
  </si>
  <si>
    <t>1974-11-10</t>
  </si>
  <si>
    <t>1976-02-28</t>
  </si>
  <si>
    <t>1990-03-24</t>
  </si>
  <si>
    <t>1967-12-10</t>
  </si>
  <si>
    <t>1994-04-22</t>
  </si>
  <si>
    <t>1967-06-02</t>
  </si>
  <si>
    <t>1970-06-23</t>
  </si>
  <si>
    <t>1981-07-03</t>
  </si>
  <si>
    <t>1992-05-02</t>
  </si>
  <si>
    <t>1982-01-18</t>
  </si>
  <si>
    <t>1967-10-12</t>
  </si>
  <si>
    <t>1994-05-25</t>
  </si>
  <si>
    <t>1993-10-11</t>
  </si>
  <si>
    <t>1985-07-28</t>
  </si>
  <si>
    <t>1976-09-11</t>
  </si>
  <si>
    <t>1967-08-02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</si>
</sst>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31"/>
  <sheetViews>
    <sheetView tabSelected="1" workbookViewId="0"/>
  </sheetViews>
  <sheetFormatPr defaultRowHeight="15"/>
  <cols>
    <col min="1" max="1" width="9.7109375" customWidth="1"/>
    <col min="2" max="2" width="58.7109375" customWidth="1"/>
    <col min="3" max="3" width="3.7109375" customWidth="1"/>
    <col min="4" max="4" width="7.7109375" customWidth="1"/>
    <col min="5" max="5" width="8.7109375" customWidth="1"/>
    <col min="6" max="6" width="10.7109375" customWidth="1"/>
    <col min="7" max="7" width="9.7109375" customWidth="1"/>
    <col min="8" max="8" width="110.7109375" customWidth="1"/>
    <col min="9" max="9" width="45.710937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4236</v>
      </c>
      <c r="B2" t="s">
        <v>9</v>
      </c>
      <c r="C2" t="s">
        <v>1339</v>
      </c>
      <c r="D2" t="s">
        <v>1341</v>
      </c>
      <c r="E2" t="s">
        <v>1437</v>
      </c>
      <c r="F2" t="s">
        <v>1443</v>
      </c>
      <c r="G2" t="b">
        <v>1</v>
      </c>
      <c r="H2">
        <f>HYPERLINK("https://athena.uww.org/media/cache/person_default/uploads/images/crop/63cba0c006131003726995.png")</f>
        <v>0</v>
      </c>
      <c r="I2">
        <f>HYPERLINK("https://athena.uww.org/p/4236")</f>
        <v>0</v>
      </c>
    </row>
    <row r="3" spans="1:9">
      <c r="A3">
        <v>2525</v>
      </c>
      <c r="B3" t="s">
        <v>10</v>
      </c>
      <c r="C3" t="s">
        <v>1339</v>
      </c>
      <c r="D3" t="s">
        <v>1342</v>
      </c>
      <c r="E3" t="s">
        <v>1437</v>
      </c>
      <c r="F3" t="s">
        <v>1444</v>
      </c>
      <c r="G3" t="b">
        <v>1</v>
      </c>
      <c r="H3">
        <f>HYPERLINK("https://athena.uww.org/media/cache/person_default/uploads/images/crop/5d8cb4c58f9be770134786.png")</f>
        <v>0</v>
      </c>
      <c r="I3">
        <f>HYPERLINK("https://athena.uww.org/p/2525")</f>
        <v>0</v>
      </c>
    </row>
    <row r="4" spans="1:9">
      <c r="A4">
        <v>3520</v>
      </c>
      <c r="B4" t="s">
        <v>11</v>
      </c>
      <c r="C4" t="s">
        <v>1339</v>
      </c>
      <c r="D4" t="s">
        <v>1343</v>
      </c>
      <c r="E4" t="s">
        <v>1438</v>
      </c>
      <c r="F4" t="s">
        <v>1445</v>
      </c>
      <c r="G4" t="b">
        <v>1</v>
      </c>
      <c r="H4">
        <f>HYPERLINK("https://athena.uww.org/media/cache/person_default/uploads/images/crop/63cb9c512182d355670098.png")</f>
        <v>0</v>
      </c>
      <c r="I4">
        <f>HYPERLINK("https://athena.uww.org/p/3520")</f>
        <v>0</v>
      </c>
    </row>
    <row r="5" spans="1:9">
      <c r="A5">
        <v>88523</v>
      </c>
      <c r="B5" t="s">
        <v>12</v>
      </c>
      <c r="C5" t="s">
        <v>1339</v>
      </c>
      <c r="D5" t="s">
        <v>1344</v>
      </c>
      <c r="E5" t="s">
        <v>1439</v>
      </c>
      <c r="F5" t="s">
        <v>1446</v>
      </c>
      <c r="G5" t="b">
        <v>1</v>
      </c>
      <c r="H5">
        <f>HYPERLINK("https://athena.uww.org/media/cache/person_default/uploads/images/crop/63e6350669602169648164.png")</f>
        <v>0</v>
      </c>
      <c r="I5">
        <f>HYPERLINK("https://athena.uww.org/p/88523")</f>
        <v>0</v>
      </c>
    </row>
    <row r="6" spans="1:9">
      <c r="A6">
        <v>41638</v>
      </c>
      <c r="B6" t="s">
        <v>13</v>
      </c>
      <c r="C6" t="s">
        <v>1339</v>
      </c>
      <c r="D6" t="s">
        <v>1344</v>
      </c>
      <c r="E6" t="s">
        <v>1439</v>
      </c>
      <c r="F6" t="s">
        <v>1447</v>
      </c>
      <c r="G6" t="b">
        <v>1</v>
      </c>
      <c r="H6">
        <f>HYPERLINK("https://athena.uww.org/media/cache/person_default/uploads/images/crop/5d074fa42b437382664686.png")</f>
        <v>0</v>
      </c>
      <c r="I6">
        <f>HYPERLINK("https://athena.uww.org/p/41638")</f>
        <v>0</v>
      </c>
    </row>
    <row r="7" spans="1:9">
      <c r="A7">
        <v>61997</v>
      </c>
      <c r="B7" t="s">
        <v>14</v>
      </c>
      <c r="C7" t="s">
        <v>1339</v>
      </c>
      <c r="D7" t="s">
        <v>1344</v>
      </c>
      <c r="E7" t="s">
        <v>1439</v>
      </c>
      <c r="F7" t="s">
        <v>1448</v>
      </c>
      <c r="G7" t="b">
        <v>1</v>
      </c>
      <c r="H7">
        <f>HYPERLINK("https://athena.uww.org/media/cache/person_default/uploads/images/crop/60dad4b2abd19488758867.png")</f>
        <v>0</v>
      </c>
      <c r="I7">
        <f>HYPERLINK("https://athena.uww.org/p/61997")</f>
        <v>0</v>
      </c>
    </row>
    <row r="8" spans="1:9">
      <c r="A8">
        <v>3156</v>
      </c>
      <c r="B8" t="s">
        <v>15</v>
      </c>
      <c r="C8" t="s">
        <v>1339</v>
      </c>
      <c r="D8" t="s">
        <v>1345</v>
      </c>
      <c r="E8" t="s">
        <v>1440</v>
      </c>
      <c r="F8" t="s">
        <v>1449</v>
      </c>
      <c r="G8" t="b">
        <v>1</v>
      </c>
      <c r="H8">
        <f>HYPERLINK("https://athena.uww.org/media/cache/person_default/uploads/images/crop/63cb9cb7b87b7761748210.png")</f>
        <v>0</v>
      </c>
      <c r="I8">
        <f>HYPERLINK("https://athena.uww.org/p/3156")</f>
        <v>0</v>
      </c>
    </row>
    <row r="9" spans="1:9">
      <c r="A9">
        <v>4970</v>
      </c>
      <c r="B9" t="s">
        <v>16</v>
      </c>
      <c r="C9" t="s">
        <v>1339</v>
      </c>
      <c r="D9" t="s">
        <v>1345</v>
      </c>
      <c r="E9" t="s">
        <v>1440</v>
      </c>
      <c r="F9" t="s">
        <v>1450</v>
      </c>
      <c r="G9" t="b">
        <v>1</v>
      </c>
      <c r="H9">
        <f>HYPERLINK("https://athena.uww.org/media/cache/person_default/uploads/images/crop/63cb9ca4d78fd058395859.png")</f>
        <v>0</v>
      </c>
      <c r="I9">
        <f>HYPERLINK("https://athena.uww.org/p/4970")</f>
        <v>0</v>
      </c>
    </row>
    <row r="10" spans="1:9">
      <c r="A10">
        <v>4971</v>
      </c>
      <c r="B10" t="s">
        <v>17</v>
      </c>
      <c r="C10" t="s">
        <v>1339</v>
      </c>
      <c r="D10" t="s">
        <v>1345</v>
      </c>
      <c r="E10" t="s">
        <v>1441</v>
      </c>
      <c r="F10" t="s">
        <v>1451</v>
      </c>
      <c r="G10" t="b">
        <v>1</v>
      </c>
      <c r="H10">
        <f>HYPERLINK("https://athena.uww.org/media/cache/person_default/uploads/images/referee-4971.jpg")</f>
        <v>0</v>
      </c>
      <c r="I10">
        <f>HYPERLINK("https://athena.uww.org/p/4971")</f>
        <v>0</v>
      </c>
    </row>
    <row r="11" spans="1:9">
      <c r="A11">
        <v>5376</v>
      </c>
      <c r="B11" t="s">
        <v>18</v>
      </c>
      <c r="C11" t="s">
        <v>1339</v>
      </c>
      <c r="D11" t="s">
        <v>1345</v>
      </c>
      <c r="E11" t="s">
        <v>1441</v>
      </c>
      <c r="F11" t="s">
        <v>1452</v>
      </c>
      <c r="G11" t="b">
        <v>1</v>
      </c>
      <c r="H11">
        <f>HYPERLINK("https://athena.uww.org/media/cache/person_default/uploads/images/referee-5376.jpg")</f>
        <v>0</v>
      </c>
      <c r="I11">
        <f>HYPERLINK("https://athena.uww.org/p/5376")</f>
        <v>0</v>
      </c>
    </row>
    <row r="12" spans="1:9">
      <c r="A12">
        <v>35677</v>
      </c>
      <c r="B12" t="s">
        <v>19</v>
      </c>
      <c r="C12" t="s">
        <v>1339</v>
      </c>
      <c r="D12" t="s">
        <v>1345</v>
      </c>
      <c r="E12" t="s">
        <v>1441</v>
      </c>
      <c r="F12" t="s">
        <v>1453</v>
      </c>
      <c r="G12" t="b">
        <v>1</v>
      </c>
      <c r="H12">
        <f>HYPERLINK("https://athena.uww.org/media/cache/person_default/uploads/images/56fb084ea7aed.jpg")</f>
        <v>0</v>
      </c>
      <c r="I12">
        <f>HYPERLINK("https://athena.uww.org/p/35677")</f>
        <v>0</v>
      </c>
    </row>
    <row r="13" spans="1:9">
      <c r="A13">
        <v>35661</v>
      </c>
      <c r="B13" t="s">
        <v>20</v>
      </c>
      <c r="C13" t="s">
        <v>1339</v>
      </c>
      <c r="D13" t="s">
        <v>1345</v>
      </c>
      <c r="E13" t="s">
        <v>1439</v>
      </c>
      <c r="F13" t="s">
        <v>1454</v>
      </c>
      <c r="G13" t="b">
        <v>1</v>
      </c>
      <c r="H13">
        <f>HYPERLINK("https://athena.uww.org/media/cache/person_default/uploads/images/crop/59b152e9c0619.png")</f>
        <v>0</v>
      </c>
      <c r="I13">
        <f>HYPERLINK("https://athena.uww.org/p/35661")</f>
        <v>0</v>
      </c>
    </row>
    <row r="14" spans="1:9">
      <c r="A14">
        <v>96172</v>
      </c>
      <c r="B14" t="s">
        <v>21</v>
      </c>
      <c r="C14" t="s">
        <v>1339</v>
      </c>
      <c r="D14" t="s">
        <v>1345</v>
      </c>
      <c r="E14" t="s">
        <v>1439</v>
      </c>
      <c r="F14" t="s">
        <v>1455</v>
      </c>
      <c r="G14" t="b">
        <v>1</v>
      </c>
      <c r="H14">
        <f>HYPERLINK("https://athena.uww.org/media/cache/person_default/uploads/images/crop/65578595bd48e709395352.png")</f>
        <v>0</v>
      </c>
      <c r="I14">
        <f>HYPERLINK("https://athena.uww.org/p/96172")</f>
        <v>0</v>
      </c>
    </row>
    <row r="15" spans="1:9">
      <c r="A15">
        <v>4621</v>
      </c>
      <c r="B15" t="s">
        <v>22</v>
      </c>
      <c r="C15" t="s">
        <v>1339</v>
      </c>
      <c r="D15" t="s">
        <v>1345</v>
      </c>
      <c r="E15" t="s">
        <v>1439</v>
      </c>
      <c r="F15" t="s">
        <v>1456</v>
      </c>
      <c r="G15" t="b">
        <v>1</v>
      </c>
      <c r="H15">
        <f>HYPERLINK("https://athena.uww.org/media/cache/person_default/uploads/images/55a103aedf59d.jpg")</f>
        <v>0</v>
      </c>
      <c r="I15">
        <f>HYPERLINK("https://athena.uww.org/p/4621")</f>
        <v>0</v>
      </c>
    </row>
    <row r="16" spans="1:9">
      <c r="A16">
        <v>55034</v>
      </c>
      <c r="B16" t="s">
        <v>23</v>
      </c>
      <c r="C16" t="s">
        <v>1339</v>
      </c>
      <c r="D16" t="s">
        <v>1345</v>
      </c>
      <c r="E16" t="s">
        <v>1439</v>
      </c>
      <c r="F16" t="s">
        <v>1457</v>
      </c>
      <c r="G16" t="b">
        <v>1</v>
      </c>
      <c r="H16">
        <f>HYPERLINK("https://athena.uww.org/media/cache/person_default/uploads/images/crop/5aba9b3c53a69.png")</f>
        <v>0</v>
      </c>
      <c r="I16">
        <f>HYPERLINK("https://athena.uww.org/p/55034")</f>
        <v>0</v>
      </c>
    </row>
    <row r="17" spans="1:9">
      <c r="A17">
        <v>96175</v>
      </c>
      <c r="B17" t="s">
        <v>24</v>
      </c>
      <c r="C17" t="s">
        <v>1340</v>
      </c>
      <c r="D17" t="s">
        <v>1345</v>
      </c>
      <c r="E17" t="s">
        <v>1439</v>
      </c>
      <c r="F17" t="s">
        <v>1458</v>
      </c>
      <c r="G17" t="b">
        <v>1</v>
      </c>
      <c r="H17">
        <f>HYPERLINK("https://athena.uww.org/media/cache/person_default/uploads/images/crop/6557621a8d42b094073893.png")</f>
        <v>0</v>
      </c>
      <c r="I17">
        <f>HYPERLINK("https://athena.uww.org/p/96175")</f>
        <v>0</v>
      </c>
    </row>
    <row r="18" spans="1:9">
      <c r="A18">
        <v>87471</v>
      </c>
      <c r="B18" t="s">
        <v>25</v>
      </c>
      <c r="C18" t="s">
        <v>1339</v>
      </c>
      <c r="D18" t="s">
        <v>1345</v>
      </c>
      <c r="E18" t="s">
        <v>1442</v>
      </c>
      <c r="F18" t="s">
        <v>1459</v>
      </c>
      <c r="G18" t="b">
        <v>1</v>
      </c>
      <c r="H18">
        <f>HYPERLINK("https://athena.uww.org/media/cache/person_default/uploads/images/crop/635b9926ab009861711965.png")</f>
        <v>0</v>
      </c>
      <c r="I18">
        <f>HYPERLINK("https://athena.uww.org/p/87471")</f>
        <v>0</v>
      </c>
    </row>
    <row r="19" spans="1:9">
      <c r="A19">
        <v>96171</v>
      </c>
      <c r="B19" t="s">
        <v>26</v>
      </c>
      <c r="C19" t="s">
        <v>1339</v>
      </c>
      <c r="D19" t="s">
        <v>1345</v>
      </c>
      <c r="E19" t="s">
        <v>1442</v>
      </c>
      <c r="F19" t="s">
        <v>1460</v>
      </c>
      <c r="G19" t="b">
        <v>1</v>
      </c>
      <c r="H19">
        <f>HYPERLINK("https://athena.uww.org/media/cache/person_default/uploads/images/crop/65576160470ff887685506.png")</f>
        <v>0</v>
      </c>
      <c r="I19">
        <f>HYPERLINK("https://athena.uww.org/p/96171")</f>
        <v>0</v>
      </c>
    </row>
    <row r="20" spans="1:9">
      <c r="A20">
        <v>96170</v>
      </c>
      <c r="B20" t="s">
        <v>27</v>
      </c>
      <c r="C20" t="s">
        <v>1339</v>
      </c>
      <c r="D20" t="s">
        <v>1345</v>
      </c>
      <c r="E20" t="s">
        <v>1442</v>
      </c>
      <c r="F20" t="s">
        <v>1461</v>
      </c>
      <c r="G20" t="b">
        <v>0</v>
      </c>
      <c r="H20">
        <f>HYPERLINK("https://athena.uww.org/media/cache/person_default/uploads/images/crop/655761c0c9bf3381185176.png")</f>
        <v>0</v>
      </c>
      <c r="I20">
        <f>HYPERLINK("https://athena.uww.org/p/96170")</f>
        <v>0</v>
      </c>
    </row>
    <row r="21" spans="1:9">
      <c r="A21">
        <v>35675</v>
      </c>
      <c r="B21" t="s">
        <v>28</v>
      </c>
      <c r="C21" t="s">
        <v>1339</v>
      </c>
      <c r="D21" t="s">
        <v>1345</v>
      </c>
      <c r="E21" t="s">
        <v>1442</v>
      </c>
      <c r="F21" t="s">
        <v>1462</v>
      </c>
      <c r="G21" t="b">
        <v>1</v>
      </c>
      <c r="H21">
        <f>HYPERLINK("https://athena.uww.org/media/cache/person_default/uploads/images/crop/59b1524572e70.png")</f>
        <v>0</v>
      </c>
      <c r="I21">
        <f>HYPERLINK("https://athena.uww.org/p/35675")</f>
        <v>0</v>
      </c>
    </row>
    <row r="22" spans="1:9">
      <c r="A22">
        <v>32614</v>
      </c>
      <c r="B22" t="s">
        <v>29</v>
      </c>
      <c r="C22" t="s">
        <v>1339</v>
      </c>
      <c r="D22" t="s">
        <v>1346</v>
      </c>
      <c r="E22" t="s">
        <v>1440</v>
      </c>
      <c r="F22" t="s">
        <v>1463</v>
      </c>
      <c r="G22" t="b">
        <v>1</v>
      </c>
      <c r="H22">
        <f>HYPERLINK("https://athena.uww.org/media/cache/person_default/uploads/images/crop/61b8b91f24473293067933.png")</f>
        <v>0</v>
      </c>
      <c r="I22">
        <f>HYPERLINK("https://athena.uww.org/p/32614")</f>
        <v>0</v>
      </c>
    </row>
    <row r="23" spans="1:9">
      <c r="A23">
        <v>66185</v>
      </c>
      <c r="B23" t="s">
        <v>30</v>
      </c>
      <c r="C23" t="s">
        <v>1339</v>
      </c>
      <c r="D23" t="s">
        <v>1346</v>
      </c>
      <c r="E23" t="s">
        <v>1441</v>
      </c>
      <c r="F23" t="s">
        <v>1464</v>
      </c>
      <c r="G23" t="b">
        <v>1</v>
      </c>
      <c r="H23">
        <f>HYPERLINK("https://athena.uww.org/media/cache/person_default/uploads/images/crop/5ccfe27e539d6459624734.png")</f>
        <v>0</v>
      </c>
      <c r="I23">
        <f>HYPERLINK("https://athena.uww.org/p/66185")</f>
        <v>0</v>
      </c>
    </row>
    <row r="24" spans="1:9">
      <c r="A24">
        <v>84196</v>
      </c>
      <c r="B24" t="s">
        <v>31</v>
      </c>
      <c r="C24" t="s">
        <v>1340</v>
      </c>
      <c r="D24" t="s">
        <v>1346</v>
      </c>
      <c r="E24" t="s">
        <v>1442</v>
      </c>
      <c r="F24" t="s">
        <v>1465</v>
      </c>
      <c r="G24" t="b">
        <v>1</v>
      </c>
      <c r="H24">
        <f>HYPERLINK("https://athena.uww.org/media/cache/person_default/uploads/images/crop/6299c4739523c511427395.png")</f>
        <v>0</v>
      </c>
      <c r="I24">
        <f>HYPERLINK("https://athena.uww.org/p/84196")</f>
        <v>0</v>
      </c>
    </row>
    <row r="25" spans="1:9">
      <c r="A25">
        <v>84228</v>
      </c>
      <c r="B25" t="s">
        <v>32</v>
      </c>
      <c r="C25" t="s">
        <v>1339</v>
      </c>
      <c r="D25" t="s">
        <v>1346</v>
      </c>
      <c r="E25" t="s">
        <v>1442</v>
      </c>
      <c r="F25" t="s">
        <v>1466</v>
      </c>
      <c r="G25" t="b">
        <v>1</v>
      </c>
      <c r="H25">
        <f>HYPERLINK("https://athena.uww.org/media/cache/person_default/uploads/images/crop/62a1a56a9f004311046365.png")</f>
        <v>0</v>
      </c>
      <c r="I25">
        <f>HYPERLINK("https://athena.uww.org/p/84228")</f>
        <v>0</v>
      </c>
    </row>
    <row r="26" spans="1:9">
      <c r="A26">
        <v>5062</v>
      </c>
      <c r="B26" t="s">
        <v>33</v>
      </c>
      <c r="C26" t="s">
        <v>1339</v>
      </c>
      <c r="D26" t="s">
        <v>1346</v>
      </c>
      <c r="E26" t="s">
        <v>1442</v>
      </c>
      <c r="F26" t="s">
        <v>1467</v>
      </c>
      <c r="G26" t="b">
        <v>0</v>
      </c>
      <c r="H26">
        <f>HYPERLINK("https://athena.uww.org/media/cache/person_default/uploads/images/referee-5062.jpg")</f>
        <v>0</v>
      </c>
      <c r="I26">
        <f>HYPERLINK("https://athena.uww.org/p/5062")</f>
        <v>0</v>
      </c>
    </row>
    <row r="27" spans="1:9">
      <c r="A27">
        <v>71437</v>
      </c>
      <c r="B27" t="s">
        <v>34</v>
      </c>
      <c r="C27" t="s">
        <v>1339</v>
      </c>
      <c r="D27" t="s">
        <v>1346</v>
      </c>
      <c r="E27" t="s">
        <v>1442</v>
      </c>
      <c r="F27" t="s">
        <v>1468</v>
      </c>
      <c r="G27" t="b">
        <v>0</v>
      </c>
      <c r="H27">
        <f>HYPERLINK("https://athena.uww.org/media/cache/person_default/uploads/images/5dcb70d97fb99472683769.jpeg")</f>
        <v>0</v>
      </c>
      <c r="I27">
        <f>HYPERLINK("https://athena.uww.org/p/71437")</f>
        <v>0</v>
      </c>
    </row>
    <row r="28" spans="1:9">
      <c r="A28">
        <v>5032</v>
      </c>
      <c r="B28" t="s">
        <v>35</v>
      </c>
      <c r="C28" t="s">
        <v>1339</v>
      </c>
      <c r="D28" t="s">
        <v>1347</v>
      </c>
      <c r="E28" t="s">
        <v>1440</v>
      </c>
      <c r="F28" t="s">
        <v>1469</v>
      </c>
      <c r="G28" t="b">
        <v>1</v>
      </c>
      <c r="H28">
        <f>HYPERLINK("https://athena.uww.org/media/cache/person_default/uploads/images/crop/6798e6fc8b8eb160279451.png")</f>
        <v>0</v>
      </c>
      <c r="I28">
        <f>HYPERLINK("https://athena.uww.org/p/5032")</f>
        <v>0</v>
      </c>
    </row>
    <row r="29" spans="1:9">
      <c r="A29">
        <v>4732</v>
      </c>
      <c r="B29" t="s">
        <v>36</v>
      </c>
      <c r="C29" t="s">
        <v>1339</v>
      </c>
      <c r="D29" t="s">
        <v>1347</v>
      </c>
      <c r="E29" t="s">
        <v>1440</v>
      </c>
      <c r="F29" t="s">
        <v>1470</v>
      </c>
      <c r="G29" t="b">
        <v>1</v>
      </c>
      <c r="H29">
        <f>HYPERLINK("https://athena.uww.org/media/cache/person_default/uploads/images/crop/65c32d7934c63732111444.png")</f>
        <v>0</v>
      </c>
      <c r="I29">
        <f>HYPERLINK("https://athena.uww.org/p/4732")</f>
        <v>0</v>
      </c>
    </row>
    <row r="30" spans="1:9">
      <c r="A30">
        <v>12811</v>
      </c>
      <c r="B30" t="s">
        <v>37</v>
      </c>
      <c r="C30" t="s">
        <v>1339</v>
      </c>
      <c r="D30" t="s">
        <v>1347</v>
      </c>
      <c r="E30" t="s">
        <v>1441</v>
      </c>
      <c r="F30" t="s">
        <v>1471</v>
      </c>
      <c r="G30" t="b">
        <v>1</v>
      </c>
      <c r="H30">
        <f>HYPERLINK("https://athena.uww.org/media/cache/person_default/uploads/images/crop/66d047595c8c1686478613.png")</f>
        <v>0</v>
      </c>
      <c r="I30">
        <f>HYPERLINK("https://athena.uww.org/p/12811")</f>
        <v>0</v>
      </c>
    </row>
    <row r="31" spans="1:9">
      <c r="A31">
        <v>4733</v>
      </c>
      <c r="B31" t="s">
        <v>38</v>
      </c>
      <c r="C31" t="s">
        <v>1339</v>
      </c>
      <c r="D31" t="s">
        <v>1347</v>
      </c>
      <c r="E31" t="s">
        <v>1441</v>
      </c>
      <c r="F31" t="s">
        <v>1472</v>
      </c>
      <c r="G31" t="b">
        <v>1</v>
      </c>
      <c r="H31">
        <f>HYPERLINK("https://athena.uww.org/media/cache/person_default/uploads/images/crop/6489b35bb3e49787505606.png")</f>
        <v>0</v>
      </c>
      <c r="I31">
        <f>HYPERLINK("https://athena.uww.org/p/4733")</f>
        <v>0</v>
      </c>
    </row>
    <row r="32" spans="1:9">
      <c r="A32">
        <v>69713</v>
      </c>
      <c r="B32" t="s">
        <v>39</v>
      </c>
      <c r="C32" t="s">
        <v>1339</v>
      </c>
      <c r="D32" t="s">
        <v>1347</v>
      </c>
      <c r="E32" t="s">
        <v>1439</v>
      </c>
      <c r="F32" t="s">
        <v>1473</v>
      </c>
      <c r="G32" t="b">
        <v>1</v>
      </c>
      <c r="H32">
        <f>HYPERLINK("https://athena.uww.org/media/cache/person_default/uploads/images/crop/67ea35388aabf904939364.png")</f>
        <v>0</v>
      </c>
      <c r="I32">
        <f>HYPERLINK("https://athena.uww.org/p/69713")</f>
        <v>0</v>
      </c>
    </row>
    <row r="33" spans="1:9">
      <c r="A33">
        <v>111164</v>
      </c>
      <c r="B33" t="s">
        <v>40</v>
      </c>
      <c r="C33" t="s">
        <v>1339</v>
      </c>
      <c r="D33" t="s">
        <v>1347</v>
      </c>
      <c r="E33" t="s">
        <v>1442</v>
      </c>
      <c r="F33" t="s">
        <v>1474</v>
      </c>
      <c r="G33" t="b">
        <v>1</v>
      </c>
      <c r="H33">
        <f>HYPERLINK("https://athena.uww.org/media/cache/person_default/uploads/images/crop/68ca7e4001c08483536968.png")</f>
        <v>0</v>
      </c>
      <c r="I33">
        <f>HYPERLINK("https://athena.uww.org/p/111164")</f>
        <v>0</v>
      </c>
    </row>
    <row r="34" spans="1:9">
      <c r="A34">
        <v>4787</v>
      </c>
      <c r="B34" t="s">
        <v>41</v>
      </c>
      <c r="C34" t="s">
        <v>1339</v>
      </c>
      <c r="D34" t="s">
        <v>1348</v>
      </c>
      <c r="E34" t="s">
        <v>1440</v>
      </c>
      <c r="F34" t="s">
        <v>1475</v>
      </c>
      <c r="G34" t="b">
        <v>1</v>
      </c>
      <c r="H34">
        <f>HYPERLINK("https://athena.uww.org/media/cache/person_default/uploads/images/crop/63cb9d1361bc0160802290.png")</f>
        <v>0</v>
      </c>
      <c r="I34">
        <f>HYPERLINK("https://athena.uww.org/p/4787")</f>
        <v>0</v>
      </c>
    </row>
    <row r="35" spans="1:9">
      <c r="A35">
        <v>42771</v>
      </c>
      <c r="B35" t="s">
        <v>42</v>
      </c>
      <c r="C35" t="s">
        <v>1340</v>
      </c>
      <c r="D35" t="s">
        <v>1348</v>
      </c>
      <c r="E35" t="s">
        <v>1441</v>
      </c>
      <c r="F35" t="s">
        <v>1476</v>
      </c>
      <c r="G35" t="b">
        <v>0</v>
      </c>
      <c r="H35">
        <f>HYPERLINK("https://athena.uww.org/media/cache/person_default/uploads/images/crop/5aded58071653.png")</f>
        <v>0</v>
      </c>
      <c r="I35">
        <f>HYPERLINK("https://athena.uww.org/p/42771")</f>
        <v>0</v>
      </c>
    </row>
    <row r="36" spans="1:9">
      <c r="A36">
        <v>45964</v>
      </c>
      <c r="B36" t="s">
        <v>43</v>
      </c>
      <c r="C36" t="s">
        <v>1339</v>
      </c>
      <c r="D36" t="s">
        <v>1348</v>
      </c>
      <c r="E36" t="s">
        <v>1441</v>
      </c>
      <c r="F36" t="s">
        <v>1477</v>
      </c>
      <c r="G36" t="b">
        <v>1</v>
      </c>
      <c r="H36">
        <f>HYPERLINK("https://athena.uww.org/media/cache/person_default/uploads/images/crop/598ac7b32e97e.png")</f>
        <v>0</v>
      </c>
      <c r="I36">
        <f>HYPERLINK("https://athena.uww.org/p/45964")</f>
        <v>0</v>
      </c>
    </row>
    <row r="37" spans="1:9">
      <c r="A37">
        <v>93071</v>
      </c>
      <c r="B37" t="s">
        <v>44</v>
      </c>
      <c r="C37" t="s">
        <v>1339</v>
      </c>
      <c r="D37" t="s">
        <v>1348</v>
      </c>
      <c r="E37" t="s">
        <v>1439</v>
      </c>
      <c r="F37" t="s">
        <v>1478</v>
      </c>
      <c r="G37" t="b">
        <v>1</v>
      </c>
      <c r="H37">
        <f>HYPERLINK("https://athena.uww.org/media/cache/person_default/uploads/images/crop/649d221e6e899847793940.png")</f>
        <v>0</v>
      </c>
      <c r="I37">
        <f>HYPERLINK("https://athena.uww.org/p/93071")</f>
        <v>0</v>
      </c>
    </row>
    <row r="38" spans="1:9">
      <c r="A38">
        <v>93109</v>
      </c>
      <c r="B38" t="s">
        <v>45</v>
      </c>
      <c r="C38" t="s">
        <v>1339</v>
      </c>
      <c r="D38" t="s">
        <v>1348</v>
      </c>
      <c r="E38" t="s">
        <v>1442</v>
      </c>
      <c r="F38" t="s">
        <v>1479</v>
      </c>
      <c r="G38" t="b">
        <v>1</v>
      </c>
      <c r="H38">
        <f>HYPERLINK("https://athena.uww.org/media/cache/person_default/uploads/images/crop/649940f0b66e0233060784.png")</f>
        <v>0</v>
      </c>
      <c r="I38">
        <f>HYPERLINK("https://athena.uww.org/p/93109")</f>
        <v>0</v>
      </c>
    </row>
    <row r="39" spans="1:9">
      <c r="A39">
        <v>108749</v>
      </c>
      <c r="B39" t="s">
        <v>46</v>
      </c>
      <c r="C39" t="s">
        <v>1339</v>
      </c>
      <c r="D39" t="s">
        <v>1348</v>
      </c>
      <c r="E39" t="s">
        <v>1442</v>
      </c>
      <c r="F39" t="s">
        <v>1480</v>
      </c>
      <c r="G39" t="b">
        <v>1</v>
      </c>
      <c r="H39">
        <f>HYPERLINK("https://athena.uww.org/media/cache/person_default/uploads/images/6841594c26a38436739691.jpeg")</f>
        <v>0</v>
      </c>
      <c r="I39">
        <f>HYPERLINK("https://athena.uww.org/p/108749")</f>
        <v>0</v>
      </c>
    </row>
    <row r="40" spans="1:9">
      <c r="A40">
        <v>105087</v>
      </c>
      <c r="B40" t="s">
        <v>47</v>
      </c>
      <c r="C40" t="s">
        <v>1339</v>
      </c>
      <c r="D40" t="s">
        <v>1348</v>
      </c>
      <c r="E40" t="s">
        <v>1442</v>
      </c>
      <c r="F40" t="s">
        <v>1481</v>
      </c>
      <c r="G40" t="b">
        <v>1</v>
      </c>
      <c r="H40">
        <f>HYPERLINK("https://athena.uww.org/media/cache/person_default/uploads/images/crop/67cea5d72ef83695932547.png")</f>
        <v>0</v>
      </c>
      <c r="I40">
        <f>HYPERLINK("https://athena.uww.org/p/105087")</f>
        <v>0</v>
      </c>
    </row>
    <row r="41" spans="1:9">
      <c r="A41">
        <v>4554</v>
      </c>
      <c r="B41" t="s">
        <v>48</v>
      </c>
      <c r="C41" t="s">
        <v>1339</v>
      </c>
      <c r="D41" t="s">
        <v>1348</v>
      </c>
      <c r="E41" t="s">
        <v>1442</v>
      </c>
      <c r="F41" t="s">
        <v>1482</v>
      </c>
      <c r="G41" t="b">
        <v>0</v>
      </c>
      <c r="H41">
        <f>HYPERLINK("https://athena.uww.org/media/cache/person_default/uploads/images/56b87af7bf199.jpg")</f>
        <v>0</v>
      </c>
      <c r="I41">
        <f>HYPERLINK("https://athena.uww.org/p/4554")</f>
        <v>0</v>
      </c>
    </row>
    <row r="42" spans="1:9">
      <c r="A42">
        <v>18416</v>
      </c>
      <c r="B42" t="s">
        <v>49</v>
      </c>
      <c r="C42" t="s">
        <v>1339</v>
      </c>
      <c r="D42" t="s">
        <v>1348</v>
      </c>
      <c r="E42" t="s">
        <v>1442</v>
      </c>
      <c r="F42" t="s">
        <v>1483</v>
      </c>
      <c r="G42" t="b">
        <v>1</v>
      </c>
      <c r="H42">
        <f>HYPERLINK("https://athena.uww.org/media/cache/person_default/uploads/images/56bee36b1a86a.jpg")</f>
        <v>0</v>
      </c>
      <c r="I42">
        <f>HYPERLINK("https://athena.uww.org/p/18416")</f>
        <v>0</v>
      </c>
    </row>
    <row r="43" spans="1:9">
      <c r="A43">
        <v>93216</v>
      </c>
      <c r="B43" t="s">
        <v>50</v>
      </c>
      <c r="C43" t="s">
        <v>1339</v>
      </c>
      <c r="D43" t="s">
        <v>1348</v>
      </c>
      <c r="E43" t="s">
        <v>1442</v>
      </c>
      <c r="F43" t="s">
        <v>1484</v>
      </c>
      <c r="G43" t="b">
        <v>1</v>
      </c>
      <c r="H43">
        <f>HYPERLINK("https://athena.uww.org/media/cache/person_default/uploads/images/crop/649d226a48046279959170.png")</f>
        <v>0</v>
      </c>
      <c r="I43">
        <f>HYPERLINK("https://athena.uww.org/p/93216")</f>
        <v>0</v>
      </c>
    </row>
    <row r="44" spans="1:9">
      <c r="A44">
        <v>3644</v>
      </c>
      <c r="B44" t="s">
        <v>51</v>
      </c>
      <c r="C44" t="s">
        <v>1339</v>
      </c>
      <c r="D44" t="s">
        <v>1348</v>
      </c>
      <c r="E44" t="s">
        <v>1442</v>
      </c>
      <c r="F44" t="s">
        <v>1485</v>
      </c>
      <c r="G44" t="b">
        <v>0</v>
      </c>
      <c r="H44">
        <f>HYPERLINK("https://athena.uww.org/media/cache/person_default/uploads/images/referee-3644.JPG")</f>
        <v>0</v>
      </c>
      <c r="I44">
        <f>HYPERLINK("https://athena.uww.org/p/3644")</f>
        <v>0</v>
      </c>
    </row>
    <row r="45" spans="1:9">
      <c r="A45">
        <v>3877</v>
      </c>
      <c r="B45" t="s">
        <v>52</v>
      </c>
      <c r="C45" t="s">
        <v>1339</v>
      </c>
      <c r="D45" t="s">
        <v>1349</v>
      </c>
      <c r="E45" t="s">
        <v>1440</v>
      </c>
      <c r="F45" t="s">
        <v>1486</v>
      </c>
      <c r="G45" t="b">
        <v>1</v>
      </c>
      <c r="H45">
        <f>HYPERLINK("https://athena.uww.org/media/cache/person_default/uploads/images/crop/5d8cb4e7837b1764214601.png")</f>
        <v>0</v>
      </c>
      <c r="I45">
        <f>HYPERLINK("https://athena.uww.org/p/3877")</f>
        <v>0</v>
      </c>
    </row>
    <row r="46" spans="1:9">
      <c r="A46">
        <v>4447</v>
      </c>
      <c r="B46" t="s">
        <v>53</v>
      </c>
      <c r="C46" t="s">
        <v>1339</v>
      </c>
      <c r="D46" t="s">
        <v>1349</v>
      </c>
      <c r="E46" t="s">
        <v>1441</v>
      </c>
      <c r="F46" t="s">
        <v>1487</v>
      </c>
      <c r="G46" t="b">
        <v>1</v>
      </c>
      <c r="H46">
        <f>HYPERLINK("https://athena.uww.org/media/cache/person_default/uploads/images/55a4a699bbf59.jpg")</f>
        <v>0</v>
      </c>
      <c r="I46">
        <f>HYPERLINK("https://athena.uww.org/p/4447")</f>
        <v>0</v>
      </c>
    </row>
    <row r="47" spans="1:9">
      <c r="A47">
        <v>5547</v>
      </c>
      <c r="B47" t="s">
        <v>54</v>
      </c>
      <c r="C47" t="s">
        <v>1339</v>
      </c>
      <c r="D47" t="s">
        <v>1349</v>
      </c>
      <c r="E47" t="s">
        <v>1441</v>
      </c>
      <c r="F47" t="s">
        <v>1488</v>
      </c>
      <c r="G47" t="b">
        <v>1</v>
      </c>
      <c r="H47">
        <f>HYPERLINK("https://athena.uww.org/media/cache/person_default/uploads/images/crop/66213245c6987148032561.png")</f>
        <v>0</v>
      </c>
      <c r="I47">
        <f>HYPERLINK("https://athena.uww.org/p/5547")</f>
        <v>0</v>
      </c>
    </row>
    <row r="48" spans="1:9">
      <c r="A48">
        <v>4577</v>
      </c>
      <c r="B48" t="s">
        <v>55</v>
      </c>
      <c r="C48" t="s">
        <v>1339</v>
      </c>
      <c r="D48" t="s">
        <v>1349</v>
      </c>
      <c r="E48" t="s">
        <v>1442</v>
      </c>
      <c r="F48" t="s">
        <v>1489</v>
      </c>
      <c r="G48" t="b">
        <v>0</v>
      </c>
      <c r="H48">
        <f>HYPERLINK("https://athena.uww.org/media/cache/person_default/uploads/images/referee-4577.jpg")</f>
        <v>0</v>
      </c>
      <c r="I48">
        <f>HYPERLINK("https://athena.uww.org/p/4577")</f>
        <v>0</v>
      </c>
    </row>
    <row r="49" spans="1:9">
      <c r="A49">
        <v>25103</v>
      </c>
      <c r="B49" t="s">
        <v>56</v>
      </c>
      <c r="C49" t="s">
        <v>1339</v>
      </c>
      <c r="D49" t="s">
        <v>1349</v>
      </c>
      <c r="E49" t="s">
        <v>1442</v>
      </c>
      <c r="F49" t="s">
        <v>1490</v>
      </c>
      <c r="G49" t="b">
        <v>1</v>
      </c>
      <c r="H49">
        <f>HYPERLINK("https://athena.uww.org/media/cache/person_default/uploads/images/crop/67b4389504282364770860.png")</f>
        <v>0</v>
      </c>
      <c r="I49">
        <f>HYPERLINK("https://athena.uww.org/p/25103")</f>
        <v>0</v>
      </c>
    </row>
    <row r="50" spans="1:9">
      <c r="A50">
        <v>85558</v>
      </c>
      <c r="B50" t="s">
        <v>57</v>
      </c>
      <c r="C50" t="s">
        <v>1339</v>
      </c>
      <c r="D50" t="s">
        <v>1349</v>
      </c>
      <c r="E50" t="s">
        <v>1442</v>
      </c>
      <c r="F50" t="s">
        <v>1491</v>
      </c>
      <c r="G50" t="b">
        <v>1</v>
      </c>
      <c r="H50">
        <f>HYPERLINK("https://athena.uww.org/media/cache/person_default/uploads/images/crop/66213338c2511014274565.png")</f>
        <v>0</v>
      </c>
      <c r="I50">
        <f>HYPERLINK("https://athena.uww.org/p/85558")</f>
        <v>0</v>
      </c>
    </row>
    <row r="51" spans="1:9">
      <c r="A51">
        <v>5156</v>
      </c>
      <c r="B51" t="s">
        <v>58</v>
      </c>
      <c r="C51" t="s">
        <v>1339</v>
      </c>
      <c r="D51" t="s">
        <v>1350</v>
      </c>
      <c r="E51" t="s">
        <v>1440</v>
      </c>
      <c r="F51" t="s">
        <v>1492</v>
      </c>
      <c r="G51" t="b">
        <v>1</v>
      </c>
      <c r="H51">
        <f>HYPERLINK("https://athena.uww.org/media/cache/person_default/uploads/images/crop/63cba3b2dfec6898518622.png")</f>
        <v>0</v>
      </c>
      <c r="I51">
        <f>HYPERLINK("https://athena.uww.org/p/5156")</f>
        <v>0</v>
      </c>
    </row>
    <row r="52" spans="1:9">
      <c r="A52">
        <v>54</v>
      </c>
      <c r="B52" t="s">
        <v>59</v>
      </c>
      <c r="C52" t="s">
        <v>1339</v>
      </c>
      <c r="D52" t="s">
        <v>1350</v>
      </c>
      <c r="E52" t="s">
        <v>1440</v>
      </c>
      <c r="F52" t="s">
        <v>1493</v>
      </c>
      <c r="G52" t="b">
        <v>1</v>
      </c>
      <c r="H52">
        <f>HYPERLINK("https://athena.uww.org/media/cache/person_default/uploads/images/crop/66595dacb2e4c218746150.png")</f>
        <v>0</v>
      </c>
      <c r="I52">
        <f>HYPERLINK("https://athena.uww.org/p/54")</f>
        <v>0</v>
      </c>
    </row>
    <row r="53" spans="1:9">
      <c r="A53">
        <v>4676</v>
      </c>
      <c r="B53" t="s">
        <v>60</v>
      </c>
      <c r="C53" t="s">
        <v>1339</v>
      </c>
      <c r="D53" t="s">
        <v>1350</v>
      </c>
      <c r="E53" t="s">
        <v>1440</v>
      </c>
      <c r="F53" t="s">
        <v>1494</v>
      </c>
      <c r="G53" t="b">
        <v>1</v>
      </c>
      <c r="H53">
        <f>HYPERLINK("https://athena.uww.org/media/cache/person_default/uploads/images/crop/63cba39604b3d929445709.png")</f>
        <v>0</v>
      </c>
      <c r="I53">
        <f>HYPERLINK("https://athena.uww.org/p/4676")</f>
        <v>0</v>
      </c>
    </row>
    <row r="54" spans="1:9">
      <c r="A54">
        <v>5430</v>
      </c>
      <c r="B54" t="s">
        <v>61</v>
      </c>
      <c r="C54" t="s">
        <v>1339</v>
      </c>
      <c r="D54" t="s">
        <v>1350</v>
      </c>
      <c r="E54" t="s">
        <v>1441</v>
      </c>
      <c r="F54" t="s">
        <v>1495</v>
      </c>
      <c r="G54" t="b">
        <v>1</v>
      </c>
      <c r="H54">
        <f>HYPERLINK("https://athena.uww.org/media/cache/person_default/uploads/images/referee-5430.jpg")</f>
        <v>0</v>
      </c>
      <c r="I54">
        <f>HYPERLINK("https://athena.uww.org/p/5430")</f>
        <v>0</v>
      </c>
    </row>
    <row r="55" spans="1:9">
      <c r="A55">
        <v>5499</v>
      </c>
      <c r="B55" t="s">
        <v>62</v>
      </c>
      <c r="C55" t="s">
        <v>1339</v>
      </c>
      <c r="D55" t="s">
        <v>1350</v>
      </c>
      <c r="E55" t="s">
        <v>1441</v>
      </c>
      <c r="F55" t="s">
        <v>1496</v>
      </c>
      <c r="G55" t="b">
        <v>1</v>
      </c>
      <c r="H55">
        <f>HYPERLINK("https://athena.uww.org/media/cache/person_default/uploads/images/referee-5499.jpg")</f>
        <v>0</v>
      </c>
      <c r="I55">
        <f>HYPERLINK("https://athena.uww.org/p/5499")</f>
        <v>0</v>
      </c>
    </row>
    <row r="56" spans="1:9">
      <c r="A56">
        <v>58681</v>
      </c>
      <c r="B56" t="s">
        <v>63</v>
      </c>
      <c r="C56" t="s">
        <v>1339</v>
      </c>
      <c r="D56" t="s">
        <v>1350</v>
      </c>
      <c r="E56" t="s">
        <v>1441</v>
      </c>
      <c r="F56" t="s">
        <v>1497</v>
      </c>
      <c r="G56" t="b">
        <v>1</v>
      </c>
      <c r="H56">
        <f>HYPERLINK("https://athena.uww.org/media/cache/person_default/uploads/images/5b0fb4f439356.JPG")</f>
        <v>0</v>
      </c>
      <c r="I56">
        <f>HYPERLINK("https://athena.uww.org/p/58681")</f>
        <v>0</v>
      </c>
    </row>
    <row r="57" spans="1:9">
      <c r="A57">
        <v>78427</v>
      </c>
      <c r="B57" t="s">
        <v>64</v>
      </c>
      <c r="C57" t="s">
        <v>1339</v>
      </c>
      <c r="D57" t="s">
        <v>1350</v>
      </c>
      <c r="E57" t="s">
        <v>1441</v>
      </c>
      <c r="F57" t="s">
        <v>1498</v>
      </c>
      <c r="G57" t="b">
        <v>1</v>
      </c>
      <c r="H57">
        <f>HYPERLINK("https://athena.uww.org/media/cache/person_default/uploads/images/crop/613b6b53b6a78714167551.png")</f>
        <v>0</v>
      </c>
      <c r="I57">
        <f>HYPERLINK("https://athena.uww.org/p/78427")</f>
        <v>0</v>
      </c>
    </row>
    <row r="58" spans="1:9">
      <c r="A58">
        <v>4258</v>
      </c>
      <c r="B58" t="s">
        <v>65</v>
      </c>
      <c r="C58" t="s">
        <v>1339</v>
      </c>
      <c r="D58" t="s">
        <v>1350</v>
      </c>
      <c r="E58" t="s">
        <v>1441</v>
      </c>
      <c r="F58" t="s">
        <v>1499</v>
      </c>
      <c r="G58" t="b">
        <v>1</v>
      </c>
      <c r="H58">
        <f>HYPERLINK("https://athena.uww.org/media/cache/person_default/uploads/images/56a6209451467.jpg")</f>
        <v>0</v>
      </c>
      <c r="I58">
        <f>HYPERLINK("https://athena.uww.org/p/4258")</f>
        <v>0</v>
      </c>
    </row>
    <row r="59" spans="1:9">
      <c r="A59">
        <v>58682</v>
      </c>
      <c r="B59" t="s">
        <v>66</v>
      </c>
      <c r="C59" t="s">
        <v>1339</v>
      </c>
      <c r="D59" t="s">
        <v>1350</v>
      </c>
      <c r="E59" t="s">
        <v>1441</v>
      </c>
      <c r="F59" t="s">
        <v>1500</v>
      </c>
      <c r="G59" t="b">
        <v>1</v>
      </c>
      <c r="H59">
        <f>HYPERLINK("https://athena.uww.org/media/cache/person_default/uploads/images/crop/5b1a39e0da8d8.png")</f>
        <v>0</v>
      </c>
      <c r="I59">
        <f>HYPERLINK("https://athena.uww.org/p/58682")</f>
        <v>0</v>
      </c>
    </row>
    <row r="60" spans="1:9">
      <c r="A60">
        <v>5500</v>
      </c>
      <c r="B60" t="s">
        <v>67</v>
      </c>
      <c r="C60" t="s">
        <v>1339</v>
      </c>
      <c r="D60" t="s">
        <v>1350</v>
      </c>
      <c r="E60" t="s">
        <v>1441</v>
      </c>
      <c r="F60" t="s">
        <v>1501</v>
      </c>
      <c r="G60" t="b">
        <v>1</v>
      </c>
      <c r="H60">
        <f>HYPERLINK("https://athena.uww.org/media/cache/person_default/uploads/images/referee-5500.jpg")</f>
        <v>0</v>
      </c>
      <c r="I60">
        <f>HYPERLINK("https://athena.uww.org/p/5500")</f>
        <v>0</v>
      </c>
    </row>
    <row r="61" spans="1:9">
      <c r="A61">
        <v>5205</v>
      </c>
      <c r="B61" t="s">
        <v>68</v>
      </c>
      <c r="C61" t="s">
        <v>1339</v>
      </c>
      <c r="D61" t="s">
        <v>1350</v>
      </c>
      <c r="E61" t="s">
        <v>1441</v>
      </c>
      <c r="F61" t="s">
        <v>1502</v>
      </c>
      <c r="G61" t="b">
        <v>1</v>
      </c>
      <c r="H61">
        <f>HYPERLINK("https://athena.uww.org/media/cache/person_default/uploads/images/crop/6666a9182d8af878411654.png")</f>
        <v>0</v>
      </c>
      <c r="I61">
        <f>HYPERLINK("https://athena.uww.org/p/5205")</f>
        <v>0</v>
      </c>
    </row>
    <row r="62" spans="1:9">
      <c r="A62">
        <v>4789</v>
      </c>
      <c r="B62" t="s">
        <v>69</v>
      </c>
      <c r="C62" t="s">
        <v>1339</v>
      </c>
      <c r="D62" t="s">
        <v>1350</v>
      </c>
      <c r="E62" t="s">
        <v>1439</v>
      </c>
      <c r="F62" t="s">
        <v>1503</v>
      </c>
      <c r="G62" t="b">
        <v>1</v>
      </c>
      <c r="H62">
        <f>HYPERLINK("https://athena.uww.org/media/cache/person_default/uploads/images/crop/63cba3a4e7a01023434245.png")</f>
        <v>0</v>
      </c>
      <c r="I62">
        <f>HYPERLINK("https://athena.uww.org/p/4789")</f>
        <v>0</v>
      </c>
    </row>
    <row r="63" spans="1:9">
      <c r="A63">
        <v>69821</v>
      </c>
      <c r="B63" t="s">
        <v>70</v>
      </c>
      <c r="C63" t="s">
        <v>1339</v>
      </c>
      <c r="D63" t="s">
        <v>1350</v>
      </c>
      <c r="E63" t="s">
        <v>1439</v>
      </c>
      <c r="F63" t="s">
        <v>1504</v>
      </c>
      <c r="G63" t="b">
        <v>1</v>
      </c>
      <c r="H63">
        <f>HYPERLINK("https://athena.uww.org/media/cache/person_default/uploads/images/crop/6666a962a587c887901847.png")</f>
        <v>0</v>
      </c>
      <c r="I63">
        <f>HYPERLINK("https://athena.uww.org/p/69821")</f>
        <v>0</v>
      </c>
    </row>
    <row r="64" spans="1:9">
      <c r="A64">
        <v>13890</v>
      </c>
      <c r="B64" t="s">
        <v>71</v>
      </c>
      <c r="C64" t="s">
        <v>1339</v>
      </c>
      <c r="D64" t="s">
        <v>1350</v>
      </c>
      <c r="E64" t="s">
        <v>1439</v>
      </c>
      <c r="F64" t="s">
        <v>1505</v>
      </c>
      <c r="G64" t="b">
        <v>1</v>
      </c>
      <c r="H64">
        <f>HYPERLINK("https://athena.uww.org/media/cache/person_default/uploads/images/crop/62270993903f1302142193.png")</f>
        <v>0</v>
      </c>
      <c r="I64">
        <f>HYPERLINK("https://athena.uww.org/p/13890")</f>
        <v>0</v>
      </c>
    </row>
    <row r="65" spans="1:9">
      <c r="A65">
        <v>91581</v>
      </c>
      <c r="B65" t="s">
        <v>72</v>
      </c>
      <c r="C65" t="s">
        <v>1339</v>
      </c>
      <c r="D65" t="s">
        <v>1350</v>
      </c>
      <c r="E65" t="s">
        <v>1439</v>
      </c>
      <c r="F65" t="s">
        <v>1506</v>
      </c>
      <c r="G65" t="b">
        <v>1</v>
      </c>
      <c r="H65">
        <f>HYPERLINK("https://athena.uww.org/media/cache/person_default/uploads/images/crop/646c750196907195625232.png")</f>
        <v>0</v>
      </c>
      <c r="I65">
        <f>HYPERLINK("https://athena.uww.org/p/91581")</f>
        <v>0</v>
      </c>
    </row>
    <row r="66" spans="1:9">
      <c r="A66">
        <v>28954</v>
      </c>
      <c r="B66" t="s">
        <v>73</v>
      </c>
      <c r="C66" t="s">
        <v>1339</v>
      </c>
      <c r="D66" t="s">
        <v>1350</v>
      </c>
      <c r="E66" t="s">
        <v>1439</v>
      </c>
      <c r="F66" t="s">
        <v>1507</v>
      </c>
      <c r="G66" t="b">
        <v>1</v>
      </c>
      <c r="H66">
        <f>HYPERLINK("https://athena.uww.org/media/cache/person_default/uploads/images/crop/6139b72a8abc3256041809.png")</f>
        <v>0</v>
      </c>
      <c r="I66">
        <f>HYPERLINK("https://athena.uww.org/p/28954")</f>
        <v>0</v>
      </c>
    </row>
    <row r="67" spans="1:9">
      <c r="A67">
        <v>69837</v>
      </c>
      <c r="B67" t="s">
        <v>74</v>
      </c>
      <c r="C67" t="s">
        <v>1339</v>
      </c>
      <c r="D67" t="s">
        <v>1350</v>
      </c>
      <c r="E67" t="s">
        <v>1439</v>
      </c>
      <c r="F67" t="s">
        <v>1508</v>
      </c>
      <c r="G67" t="b">
        <v>1</v>
      </c>
      <c r="H67">
        <f>HYPERLINK("https://athena.uww.org/media/cache/person_default/uploads/images/crop/5d7261f073b5f320873990.png")</f>
        <v>0</v>
      </c>
      <c r="I67">
        <f>HYPERLINK("https://athena.uww.org/p/69837")</f>
        <v>0</v>
      </c>
    </row>
    <row r="68" spans="1:9">
      <c r="A68">
        <v>5548</v>
      </c>
      <c r="B68" t="s">
        <v>75</v>
      </c>
      <c r="C68" t="s">
        <v>1339</v>
      </c>
      <c r="D68" t="s">
        <v>1350</v>
      </c>
      <c r="E68" t="s">
        <v>1439</v>
      </c>
      <c r="F68" t="s">
        <v>1509</v>
      </c>
      <c r="G68" t="b">
        <v>1</v>
      </c>
      <c r="H68">
        <f>HYPERLINK("https://athena.uww.org/media/cache/person_default/uploads/images/referee-5548.jpg")</f>
        <v>0</v>
      </c>
      <c r="I68">
        <f>HYPERLINK("https://athena.uww.org/p/5548")</f>
        <v>0</v>
      </c>
    </row>
    <row r="69" spans="1:9">
      <c r="A69">
        <v>84982</v>
      </c>
      <c r="B69" t="s">
        <v>76</v>
      </c>
      <c r="C69" t="s">
        <v>1340</v>
      </c>
      <c r="D69" t="s">
        <v>1350</v>
      </c>
      <c r="E69" t="s">
        <v>1439</v>
      </c>
      <c r="F69" t="s">
        <v>1510</v>
      </c>
      <c r="G69" t="b">
        <v>1</v>
      </c>
      <c r="H69">
        <f>HYPERLINK("https://athena.uww.org/media/cache/person_default/uploads/images/crop/62b54ff2edce3497034722.png")</f>
        <v>0</v>
      </c>
      <c r="I69">
        <f>HYPERLINK("https://athena.uww.org/p/84982")</f>
        <v>0</v>
      </c>
    </row>
    <row r="70" spans="1:9">
      <c r="A70">
        <v>5497</v>
      </c>
      <c r="B70" t="s">
        <v>77</v>
      </c>
      <c r="C70" t="s">
        <v>1339</v>
      </c>
      <c r="D70" t="s">
        <v>1350</v>
      </c>
      <c r="E70" t="s">
        <v>1442</v>
      </c>
      <c r="F70" t="s">
        <v>1511</v>
      </c>
      <c r="G70" t="b">
        <v>0</v>
      </c>
      <c r="H70">
        <f>HYPERLINK("https://athena.uww.org/media/cache/person_default/uploads/images/referee-5497.jpg")</f>
        <v>0</v>
      </c>
      <c r="I70">
        <f>HYPERLINK("https://athena.uww.org/p/5497")</f>
        <v>0</v>
      </c>
    </row>
    <row r="71" spans="1:9">
      <c r="A71">
        <v>91580</v>
      </c>
      <c r="B71" t="s">
        <v>78</v>
      </c>
      <c r="C71" t="s">
        <v>1339</v>
      </c>
      <c r="D71" t="s">
        <v>1350</v>
      </c>
      <c r="E71" t="s">
        <v>1442</v>
      </c>
      <c r="F71" t="s">
        <v>1512</v>
      </c>
      <c r="G71" t="b">
        <v>1</v>
      </c>
      <c r="H71">
        <f>HYPERLINK("https://athena.uww.org/media/cache/person_default/uploads/images/crop/646c75b709585592151793.png")</f>
        <v>0</v>
      </c>
      <c r="I71">
        <f>HYPERLINK("https://athena.uww.org/p/91580")</f>
        <v>0</v>
      </c>
    </row>
    <row r="72" spans="1:9">
      <c r="A72">
        <v>100658</v>
      </c>
      <c r="B72" t="s">
        <v>79</v>
      </c>
      <c r="C72" t="s">
        <v>1339</v>
      </c>
      <c r="D72" t="s">
        <v>1350</v>
      </c>
      <c r="E72" t="s">
        <v>1442</v>
      </c>
      <c r="F72" t="s">
        <v>1513</v>
      </c>
      <c r="G72" t="b">
        <v>1</v>
      </c>
      <c r="H72">
        <f>HYPERLINK("https://athena.uww.org/media/cache/person_default/uploads/images/66db49dc1efc9174002592.png")</f>
        <v>0</v>
      </c>
      <c r="I72">
        <f>HYPERLINK("https://athena.uww.org/p/100658")</f>
        <v>0</v>
      </c>
    </row>
    <row r="73" spans="1:9">
      <c r="A73">
        <v>97709</v>
      </c>
      <c r="B73" t="s">
        <v>80</v>
      </c>
      <c r="C73" t="s">
        <v>1339</v>
      </c>
      <c r="D73" t="s">
        <v>1350</v>
      </c>
      <c r="E73" t="s">
        <v>1442</v>
      </c>
      <c r="F73" t="s">
        <v>1514</v>
      </c>
      <c r="G73" t="b">
        <v>1</v>
      </c>
      <c r="H73">
        <f>HYPERLINK("https://athena.uww.org/media/cache/person_default/uploads/images/65e1c67248dd4853055993.jpeg")</f>
        <v>0</v>
      </c>
      <c r="I73">
        <f>HYPERLINK("https://athena.uww.org/p/97709")</f>
        <v>0</v>
      </c>
    </row>
    <row r="74" spans="1:9">
      <c r="A74">
        <v>97706</v>
      </c>
      <c r="B74" t="s">
        <v>81</v>
      </c>
      <c r="C74" t="s">
        <v>1339</v>
      </c>
      <c r="D74" t="s">
        <v>1350</v>
      </c>
      <c r="E74" t="s">
        <v>1442</v>
      </c>
      <c r="F74" t="s">
        <v>1515</v>
      </c>
      <c r="G74" t="b">
        <v>1</v>
      </c>
      <c r="H74">
        <f>HYPERLINK("https://athena.uww.org/media/cache/person_default/uploads/images/crop/660535e7f2ac2910388321.png")</f>
        <v>0</v>
      </c>
      <c r="I74">
        <f>HYPERLINK("https://athena.uww.org/p/97706")</f>
        <v>0</v>
      </c>
    </row>
    <row r="75" spans="1:9">
      <c r="A75">
        <v>97710</v>
      </c>
      <c r="B75" t="s">
        <v>82</v>
      </c>
      <c r="C75" t="s">
        <v>1339</v>
      </c>
      <c r="D75" t="s">
        <v>1350</v>
      </c>
      <c r="E75" t="s">
        <v>1442</v>
      </c>
      <c r="F75" t="s">
        <v>1516</v>
      </c>
      <c r="G75" t="b">
        <v>1</v>
      </c>
      <c r="H75">
        <f>HYPERLINK("https://athena.uww.org/media/cache/person_default/uploads/images/crop/65e1c75d0f7fc877922153.png")</f>
        <v>0</v>
      </c>
      <c r="I75">
        <f>HYPERLINK("https://athena.uww.org/p/97710")</f>
        <v>0</v>
      </c>
    </row>
    <row r="76" spans="1:9">
      <c r="A76">
        <v>56406</v>
      </c>
      <c r="B76" t="s">
        <v>83</v>
      </c>
      <c r="C76" t="s">
        <v>1339</v>
      </c>
      <c r="D76" t="s">
        <v>1351</v>
      </c>
      <c r="E76" t="s">
        <v>1442</v>
      </c>
      <c r="F76" t="s">
        <v>1517</v>
      </c>
      <c r="G76" t="b">
        <v>0</v>
      </c>
      <c r="H76">
        <f>HYPERLINK("https://athena.uww.org/media/cache/person_default/uploads/images/crop/5aef6a84c4772.png")</f>
        <v>0</v>
      </c>
      <c r="I76">
        <f>HYPERLINK("https://athena.uww.org/p/56406")</f>
        <v>0</v>
      </c>
    </row>
    <row r="77" spans="1:9">
      <c r="A77">
        <v>5033</v>
      </c>
      <c r="B77" t="s">
        <v>84</v>
      </c>
      <c r="C77" t="s">
        <v>1339</v>
      </c>
      <c r="D77" t="s">
        <v>1352</v>
      </c>
      <c r="E77" t="s">
        <v>1440</v>
      </c>
      <c r="F77" t="s">
        <v>1518</v>
      </c>
      <c r="G77" t="b">
        <v>1</v>
      </c>
      <c r="H77">
        <f>HYPERLINK("https://athena.uww.org/media/cache/person_default/uploads/images/crop/63cfd2cc312df186263313.png")</f>
        <v>0</v>
      </c>
      <c r="I77">
        <f>HYPERLINK("https://athena.uww.org/p/5033")</f>
        <v>0</v>
      </c>
    </row>
    <row r="78" spans="1:9">
      <c r="A78">
        <v>4696</v>
      </c>
      <c r="B78" t="s">
        <v>85</v>
      </c>
      <c r="C78" t="s">
        <v>1339</v>
      </c>
      <c r="D78" t="s">
        <v>1352</v>
      </c>
      <c r="E78" t="s">
        <v>1440</v>
      </c>
      <c r="F78" t="s">
        <v>1519</v>
      </c>
      <c r="G78" t="b">
        <v>1</v>
      </c>
      <c r="H78">
        <f>HYPERLINK("https://athena.uww.org/media/cache/person_default/uploads/images/referee-4896.jpg")</f>
        <v>0</v>
      </c>
      <c r="I78">
        <f>HYPERLINK("https://athena.uww.org/p/4696")</f>
        <v>0</v>
      </c>
    </row>
    <row r="79" spans="1:9">
      <c r="A79">
        <v>5425</v>
      </c>
      <c r="B79" t="s">
        <v>86</v>
      </c>
      <c r="C79" t="s">
        <v>1339</v>
      </c>
      <c r="D79" t="s">
        <v>1352</v>
      </c>
      <c r="E79" t="s">
        <v>1440</v>
      </c>
      <c r="F79" t="s">
        <v>1520</v>
      </c>
      <c r="G79" t="b">
        <v>1</v>
      </c>
      <c r="H79">
        <f>HYPERLINK("https://athena.uww.org/media/cache/person_default/uploads/images/crop/63cb9ce91ec0f821545858.png")</f>
        <v>0</v>
      </c>
      <c r="I79">
        <f>HYPERLINK("https://athena.uww.org/p/5425")</f>
        <v>0</v>
      </c>
    </row>
    <row r="80" spans="1:9">
      <c r="A80">
        <v>4953</v>
      </c>
      <c r="B80" t="s">
        <v>87</v>
      </c>
      <c r="C80" t="s">
        <v>1339</v>
      </c>
      <c r="D80" t="s">
        <v>1352</v>
      </c>
      <c r="E80" t="s">
        <v>1440</v>
      </c>
      <c r="F80" t="s">
        <v>1521</v>
      </c>
      <c r="G80" t="b">
        <v>1</v>
      </c>
      <c r="H80">
        <f>HYPERLINK("https://athena.uww.org/media/cache/person_default/uploads/images/crop/63cb9cd720477497191899.png")</f>
        <v>0</v>
      </c>
      <c r="I80">
        <f>HYPERLINK("https://athena.uww.org/p/4953")</f>
        <v>0</v>
      </c>
    </row>
    <row r="81" spans="1:9">
      <c r="A81">
        <v>4848</v>
      </c>
      <c r="B81" t="s">
        <v>88</v>
      </c>
      <c r="C81" t="s">
        <v>1339</v>
      </c>
      <c r="D81" t="s">
        <v>1352</v>
      </c>
      <c r="E81" t="s">
        <v>1441</v>
      </c>
      <c r="F81" t="s">
        <v>1522</v>
      </c>
      <c r="G81" t="b">
        <v>1</v>
      </c>
      <c r="H81">
        <f>HYPERLINK("https://athena.uww.org/media/cache/person_default/uploads/images/referee-4848.jpg")</f>
        <v>0</v>
      </c>
      <c r="I81">
        <f>HYPERLINK("https://athena.uww.org/p/4848")</f>
        <v>0</v>
      </c>
    </row>
    <row r="82" spans="1:9">
      <c r="A82">
        <v>4952</v>
      </c>
      <c r="B82" t="s">
        <v>89</v>
      </c>
      <c r="C82" t="s">
        <v>1339</v>
      </c>
      <c r="D82" t="s">
        <v>1352</v>
      </c>
      <c r="E82" t="s">
        <v>1441</v>
      </c>
      <c r="F82" t="s">
        <v>1523</v>
      </c>
      <c r="G82" t="b">
        <v>1</v>
      </c>
      <c r="H82">
        <f>HYPERLINK("https://athena.uww.org/media/cache/person_default/uploads/images/referee-4952.jpg")</f>
        <v>0</v>
      </c>
      <c r="I82">
        <f>HYPERLINK("https://athena.uww.org/p/4952")</f>
        <v>0</v>
      </c>
    </row>
    <row r="83" spans="1:9">
      <c r="A83">
        <v>4078</v>
      </c>
      <c r="B83" t="s">
        <v>90</v>
      </c>
      <c r="C83" t="s">
        <v>1339</v>
      </c>
      <c r="D83" t="s">
        <v>1352</v>
      </c>
      <c r="E83" t="s">
        <v>1441</v>
      </c>
      <c r="F83" t="s">
        <v>1524</v>
      </c>
      <c r="G83" t="b">
        <v>1</v>
      </c>
      <c r="H83">
        <f>HYPERLINK("https://athena.uww.org/media/cache/person_default/uploads/images/566e90ce3bce4.jpg")</f>
        <v>0</v>
      </c>
      <c r="I83">
        <f>HYPERLINK("https://athena.uww.org/p/4078")</f>
        <v>0</v>
      </c>
    </row>
    <row r="84" spans="1:9">
      <c r="A84">
        <v>5177</v>
      </c>
      <c r="B84" t="s">
        <v>91</v>
      </c>
      <c r="C84" t="s">
        <v>1339</v>
      </c>
      <c r="D84" t="s">
        <v>1352</v>
      </c>
      <c r="E84" t="s">
        <v>1441</v>
      </c>
      <c r="F84" t="s">
        <v>1525</v>
      </c>
      <c r="G84" t="b">
        <v>1</v>
      </c>
      <c r="H84">
        <f>HYPERLINK("https://athena.uww.org/media/cache/person_default/uploads/images/referee-5177.jpg")</f>
        <v>0</v>
      </c>
      <c r="I84">
        <f>HYPERLINK("https://athena.uww.org/p/5177")</f>
        <v>0</v>
      </c>
    </row>
    <row r="85" spans="1:9">
      <c r="A85">
        <v>4083</v>
      </c>
      <c r="B85" t="s">
        <v>92</v>
      </c>
      <c r="C85" t="s">
        <v>1339</v>
      </c>
      <c r="D85" t="s">
        <v>1352</v>
      </c>
      <c r="E85" t="s">
        <v>1439</v>
      </c>
      <c r="F85" t="s">
        <v>1526</v>
      </c>
      <c r="G85" t="b">
        <v>1</v>
      </c>
      <c r="H85">
        <f>HYPERLINK("https://athena.uww.org/media/cache/person_default/uploads/images/crop/5cb0a83eb10d4003412834.png")</f>
        <v>0</v>
      </c>
      <c r="I85">
        <f>HYPERLINK("https://athena.uww.org/p/4083")</f>
        <v>0</v>
      </c>
    </row>
    <row r="86" spans="1:9">
      <c r="A86">
        <v>41243</v>
      </c>
      <c r="B86" t="s">
        <v>93</v>
      </c>
      <c r="C86" t="s">
        <v>1339</v>
      </c>
      <c r="D86" t="s">
        <v>1352</v>
      </c>
      <c r="E86" t="s">
        <v>1442</v>
      </c>
      <c r="F86" t="s">
        <v>1527</v>
      </c>
      <c r="G86" t="b">
        <v>1</v>
      </c>
      <c r="H86">
        <f>HYPERLINK("https://athena.uww.org/media/cache/person_default/uploads/images/crop/580f67b8b471e.png")</f>
        <v>0</v>
      </c>
      <c r="I86">
        <f>HYPERLINK("https://athena.uww.org/p/41243")</f>
        <v>0</v>
      </c>
    </row>
    <row r="87" spans="1:9">
      <c r="A87">
        <v>5176</v>
      </c>
      <c r="B87" t="s">
        <v>94</v>
      </c>
      <c r="C87" t="s">
        <v>1339</v>
      </c>
      <c r="D87" t="s">
        <v>1352</v>
      </c>
      <c r="E87" t="s">
        <v>1442</v>
      </c>
      <c r="F87" t="s">
        <v>1528</v>
      </c>
      <c r="G87" t="b">
        <v>0</v>
      </c>
      <c r="H87">
        <f>HYPERLINK("https://athena.uww.org/media/cache/person_default/uploads/images/referee-5176.jpg")</f>
        <v>0</v>
      </c>
      <c r="I87">
        <f>HYPERLINK("https://athena.uww.org/p/5176")</f>
        <v>0</v>
      </c>
    </row>
    <row r="88" spans="1:9">
      <c r="A88">
        <v>100065</v>
      </c>
      <c r="B88" t="s">
        <v>95</v>
      </c>
      <c r="C88" t="s">
        <v>1340</v>
      </c>
      <c r="D88" t="s">
        <v>1353</v>
      </c>
      <c r="E88" t="s">
        <v>1442</v>
      </c>
      <c r="F88" t="s">
        <v>1529</v>
      </c>
      <c r="G88" t="b">
        <v>0</v>
      </c>
      <c r="H88">
        <f>HYPERLINK("https://athena.uww.org/media/cache/person_default/uploads/images/crop/6638860d50af0897261186.png")</f>
        <v>0</v>
      </c>
      <c r="I88">
        <f>HYPERLINK("https://athena.uww.org/p/100065")</f>
        <v>0</v>
      </c>
    </row>
    <row r="89" spans="1:9">
      <c r="A89">
        <v>5426</v>
      </c>
      <c r="B89" t="s">
        <v>96</v>
      </c>
      <c r="C89" t="s">
        <v>1339</v>
      </c>
      <c r="D89" t="s">
        <v>1353</v>
      </c>
      <c r="E89" t="s">
        <v>1442</v>
      </c>
      <c r="F89" t="s">
        <v>1530</v>
      </c>
      <c r="G89" t="b">
        <v>0</v>
      </c>
      <c r="H89">
        <f>HYPERLINK("https://athena.uww.org/media/cache/person_default/uploads/images/crop/660b088b4e96b958999813.png")</f>
        <v>0</v>
      </c>
      <c r="I89">
        <f>HYPERLINK("https://athena.uww.org/p/5426")</f>
        <v>0</v>
      </c>
    </row>
    <row r="90" spans="1:9">
      <c r="A90">
        <v>4556</v>
      </c>
      <c r="B90" t="s">
        <v>97</v>
      </c>
      <c r="C90" t="s">
        <v>1339</v>
      </c>
      <c r="D90" t="s">
        <v>1354</v>
      </c>
      <c r="E90" t="s">
        <v>1440</v>
      </c>
      <c r="F90" t="s">
        <v>1531</v>
      </c>
      <c r="G90" t="b">
        <v>1</v>
      </c>
      <c r="H90">
        <f>HYPERLINK("https://athena.uww.org/media/cache/person_default/uploads/images/crop/5d8cb13f74234987999781.png")</f>
        <v>0</v>
      </c>
      <c r="I90">
        <f>HYPERLINK("https://athena.uww.org/p/4556")</f>
        <v>0</v>
      </c>
    </row>
    <row r="91" spans="1:9">
      <c r="A91">
        <v>33118</v>
      </c>
      <c r="B91" t="s">
        <v>98</v>
      </c>
      <c r="C91" t="s">
        <v>1340</v>
      </c>
      <c r="D91" t="s">
        <v>1354</v>
      </c>
      <c r="E91" t="s">
        <v>1440</v>
      </c>
      <c r="F91" t="s">
        <v>1532</v>
      </c>
      <c r="G91" t="b">
        <v>1</v>
      </c>
      <c r="H91">
        <f>HYPERLINK("https://athena.uww.org/media/cache/person_default/uploads/images/5698caea62a53.jpg")</f>
        <v>0</v>
      </c>
      <c r="I91">
        <f>HYPERLINK("https://athena.uww.org/p/33118")</f>
        <v>0</v>
      </c>
    </row>
    <row r="92" spans="1:9">
      <c r="A92">
        <v>33474</v>
      </c>
      <c r="B92" t="s">
        <v>99</v>
      </c>
      <c r="C92" t="s">
        <v>1340</v>
      </c>
      <c r="D92" t="s">
        <v>1354</v>
      </c>
      <c r="E92" t="s">
        <v>1441</v>
      </c>
      <c r="F92" t="s">
        <v>1533</v>
      </c>
      <c r="G92" t="b">
        <v>1</v>
      </c>
      <c r="H92">
        <f>HYPERLINK("https://athena.uww.org/media/cache/person_default/uploads/images/crop/5af0164f36823.png")</f>
        <v>0</v>
      </c>
      <c r="I92">
        <f>HYPERLINK("https://athena.uww.org/p/33474")</f>
        <v>0</v>
      </c>
    </row>
    <row r="93" spans="1:9">
      <c r="A93">
        <v>74770</v>
      </c>
      <c r="B93" t="s">
        <v>100</v>
      </c>
      <c r="C93" t="s">
        <v>1340</v>
      </c>
      <c r="D93" t="s">
        <v>1354</v>
      </c>
      <c r="E93" t="s">
        <v>1439</v>
      </c>
      <c r="F93" t="s">
        <v>1534</v>
      </c>
      <c r="G93" t="b">
        <v>1</v>
      </c>
      <c r="H93">
        <f>HYPERLINK("https://athena.uww.org/media/cache/person_default/uploads/images/crop/607fbb72091c8980102894.png")</f>
        <v>0</v>
      </c>
      <c r="I93">
        <f>HYPERLINK("https://athena.uww.org/p/74770")</f>
        <v>0</v>
      </c>
    </row>
    <row r="94" spans="1:9">
      <c r="A94">
        <v>84125</v>
      </c>
      <c r="B94" t="s">
        <v>101</v>
      </c>
      <c r="C94" t="s">
        <v>1339</v>
      </c>
      <c r="D94" t="s">
        <v>1354</v>
      </c>
      <c r="E94" t="s">
        <v>1442</v>
      </c>
      <c r="F94" t="s">
        <v>1535</v>
      </c>
      <c r="G94" t="b">
        <v>1</v>
      </c>
      <c r="H94">
        <f>HYPERLINK("https://athena.uww.org/media/cache/person_default/uploads/images/crop/6298b9c01d0b9765003121.png")</f>
        <v>0</v>
      </c>
      <c r="I94">
        <f>HYPERLINK("https://athena.uww.org/p/84125")</f>
        <v>0</v>
      </c>
    </row>
    <row r="95" spans="1:9">
      <c r="A95">
        <v>107652</v>
      </c>
      <c r="B95" t="s">
        <v>102</v>
      </c>
      <c r="C95" t="s">
        <v>1340</v>
      </c>
      <c r="D95" t="s">
        <v>1354</v>
      </c>
      <c r="E95" t="s">
        <v>1442</v>
      </c>
      <c r="F95" t="s">
        <v>1536</v>
      </c>
      <c r="G95" t="b">
        <v>1</v>
      </c>
      <c r="H95">
        <f>HYPERLINK("https://athena.uww.org/media/cache/person_default/uploads/images/crop/682c416e21a34826663016.png")</f>
        <v>0</v>
      </c>
      <c r="I95">
        <f>HYPERLINK("https://athena.uww.org/p/107652")</f>
        <v>0</v>
      </c>
    </row>
    <row r="96" spans="1:9">
      <c r="A96">
        <v>86115</v>
      </c>
      <c r="B96" t="s">
        <v>103</v>
      </c>
      <c r="C96" t="s">
        <v>1339</v>
      </c>
      <c r="D96" t="s">
        <v>1354</v>
      </c>
      <c r="E96" t="s">
        <v>1442</v>
      </c>
      <c r="F96" t="s">
        <v>1537</v>
      </c>
      <c r="G96" t="b">
        <v>1</v>
      </c>
      <c r="H96">
        <f>HYPERLINK("https://athena.uww.org/media/cache/person_default/uploads/images/crop/6311a861bbdc9718781649.png")</f>
        <v>0</v>
      </c>
      <c r="I96">
        <f>HYPERLINK("https://athena.uww.org/p/86115")</f>
        <v>0</v>
      </c>
    </row>
    <row r="97" spans="1:9">
      <c r="A97">
        <v>107651</v>
      </c>
      <c r="B97" t="s">
        <v>104</v>
      </c>
      <c r="C97" t="s">
        <v>1339</v>
      </c>
      <c r="D97" t="s">
        <v>1354</v>
      </c>
      <c r="E97" t="s">
        <v>1442</v>
      </c>
      <c r="F97" t="s">
        <v>1538</v>
      </c>
      <c r="G97" t="b">
        <v>1</v>
      </c>
      <c r="H97">
        <f>HYPERLINK("https://athena.uww.org/media/cache/person_default/uploads/images/crop/682d6d9f4cb51115695778.png")</f>
        <v>0</v>
      </c>
      <c r="I97">
        <f>HYPERLINK("https://athena.uww.org/p/107651")</f>
        <v>0</v>
      </c>
    </row>
    <row r="98" spans="1:9">
      <c r="A98">
        <v>4020</v>
      </c>
      <c r="B98" t="s">
        <v>105</v>
      </c>
      <c r="C98" t="s">
        <v>1339</v>
      </c>
      <c r="D98" t="s">
        <v>1355</v>
      </c>
      <c r="E98" t="s">
        <v>1440</v>
      </c>
      <c r="F98" t="s">
        <v>1539</v>
      </c>
      <c r="G98" t="b">
        <v>1</v>
      </c>
      <c r="H98">
        <f>HYPERLINK("https://athena.uww.org/media/cache/person_default/uploads/images/crop/67ce9ced36a84697265873.png")</f>
        <v>0</v>
      </c>
      <c r="I98">
        <f>HYPERLINK("https://athena.uww.org/p/4020")</f>
        <v>0</v>
      </c>
    </row>
    <row r="99" spans="1:9">
      <c r="A99">
        <v>5218</v>
      </c>
      <c r="B99" t="s">
        <v>106</v>
      </c>
      <c r="C99" t="s">
        <v>1339</v>
      </c>
      <c r="D99" t="s">
        <v>1355</v>
      </c>
      <c r="E99" t="s">
        <v>1440</v>
      </c>
      <c r="F99" t="s">
        <v>1540</v>
      </c>
      <c r="G99" t="b">
        <v>1</v>
      </c>
      <c r="H99">
        <f>HYPERLINK("https://athena.uww.org/media/cache/person_default/uploads/images/referee-5218.jpg")</f>
        <v>0</v>
      </c>
      <c r="I99">
        <f>HYPERLINK("https://athena.uww.org/p/5218")</f>
        <v>0</v>
      </c>
    </row>
    <row r="100" spans="1:9">
      <c r="A100">
        <v>4954</v>
      </c>
      <c r="B100" t="s">
        <v>107</v>
      </c>
      <c r="C100" t="s">
        <v>1339</v>
      </c>
      <c r="D100" t="s">
        <v>1355</v>
      </c>
      <c r="E100" t="s">
        <v>1440</v>
      </c>
      <c r="F100" t="s">
        <v>1541</v>
      </c>
      <c r="G100" t="b">
        <v>1</v>
      </c>
      <c r="H100">
        <f>HYPERLINK("https://athena.uww.org/media/cache/person_default/uploads/images/crop/64ae8b792b637199146685.png")</f>
        <v>0</v>
      </c>
      <c r="I100">
        <f>HYPERLINK("https://athena.uww.org/p/4954")</f>
        <v>0</v>
      </c>
    </row>
    <row r="101" spans="1:9">
      <c r="A101">
        <v>3298</v>
      </c>
      <c r="B101" t="s">
        <v>108</v>
      </c>
      <c r="C101" t="s">
        <v>1340</v>
      </c>
      <c r="D101" t="s">
        <v>1355</v>
      </c>
      <c r="E101" t="s">
        <v>1440</v>
      </c>
      <c r="F101" t="s">
        <v>1542</v>
      </c>
      <c r="G101" t="b">
        <v>1</v>
      </c>
      <c r="H101">
        <f>HYPERLINK("https://athena.uww.org/media/cache/person_default/uploads/images/crop/5bf3b78348780403577248.png")</f>
        <v>0</v>
      </c>
      <c r="I101">
        <f>HYPERLINK("https://athena.uww.org/p/3298")</f>
        <v>0</v>
      </c>
    </row>
    <row r="102" spans="1:9">
      <c r="A102">
        <v>4027</v>
      </c>
      <c r="B102" t="s">
        <v>109</v>
      </c>
      <c r="C102" t="s">
        <v>1339</v>
      </c>
      <c r="D102" t="s">
        <v>1355</v>
      </c>
      <c r="E102" t="s">
        <v>1441</v>
      </c>
      <c r="F102" t="s">
        <v>1543</v>
      </c>
      <c r="G102" t="b">
        <v>1</v>
      </c>
      <c r="H102">
        <f>HYPERLINK("https://athena.uww.org/media/cache/person_default/uploads/images/56938985c9ba4.jpg")</f>
        <v>0</v>
      </c>
      <c r="I102">
        <f>HYPERLINK("https://athena.uww.org/p/4027")</f>
        <v>0</v>
      </c>
    </row>
    <row r="103" spans="1:9">
      <c r="A103">
        <v>5217</v>
      </c>
      <c r="B103" t="s">
        <v>110</v>
      </c>
      <c r="C103" t="s">
        <v>1339</v>
      </c>
      <c r="D103" t="s">
        <v>1355</v>
      </c>
      <c r="E103" t="s">
        <v>1441</v>
      </c>
      <c r="F103" t="s">
        <v>1544</v>
      </c>
      <c r="G103" t="b">
        <v>1</v>
      </c>
      <c r="H103">
        <f>HYPERLINK("https://athena.uww.org/media/cache/person_default/uploads/images/referee-5217.jpg")</f>
        <v>0</v>
      </c>
      <c r="I103">
        <f>HYPERLINK("https://athena.uww.org/p/5217")</f>
        <v>0</v>
      </c>
    </row>
    <row r="104" spans="1:9">
      <c r="A104">
        <v>4634</v>
      </c>
      <c r="B104" t="s">
        <v>111</v>
      </c>
      <c r="C104" t="s">
        <v>1339</v>
      </c>
      <c r="D104" t="s">
        <v>1355</v>
      </c>
      <c r="E104" t="s">
        <v>1441</v>
      </c>
      <c r="F104" t="s">
        <v>1545</v>
      </c>
      <c r="G104" t="b">
        <v>1</v>
      </c>
      <c r="H104">
        <f>HYPERLINK("https://athena.uww.org/media/cache/person_default/uploads/images/559d4335ded26.jpg")</f>
        <v>0</v>
      </c>
      <c r="I104">
        <f>HYPERLINK("https://athena.uww.org/p/4634")</f>
        <v>0</v>
      </c>
    </row>
    <row r="105" spans="1:9">
      <c r="A105">
        <v>60195</v>
      </c>
      <c r="B105" t="s">
        <v>112</v>
      </c>
      <c r="C105" t="s">
        <v>1340</v>
      </c>
      <c r="D105" t="s">
        <v>1355</v>
      </c>
      <c r="E105" t="s">
        <v>1441</v>
      </c>
      <c r="F105" t="s">
        <v>1546</v>
      </c>
      <c r="G105" t="b">
        <v>1</v>
      </c>
      <c r="H105">
        <f>HYPERLINK("https://athena.uww.org/media/cache/person_default/uploads/images/5b8061efacf2c.jpeg")</f>
        <v>0</v>
      </c>
      <c r="I105">
        <f>HYPERLINK("https://athena.uww.org/p/60195")</f>
        <v>0</v>
      </c>
    </row>
    <row r="106" spans="1:9">
      <c r="A106">
        <v>66990</v>
      </c>
      <c r="B106" t="s">
        <v>113</v>
      </c>
      <c r="C106" t="s">
        <v>1339</v>
      </c>
      <c r="D106" t="s">
        <v>1355</v>
      </c>
      <c r="E106" t="s">
        <v>1441</v>
      </c>
      <c r="F106" t="s">
        <v>1547</v>
      </c>
      <c r="G106" t="b">
        <v>1</v>
      </c>
      <c r="H106">
        <f>HYPERLINK("https://athena.uww.org/media/cache/person_default/uploads/images/crop/5cf4e3fb58af8578380447.png")</f>
        <v>0</v>
      </c>
      <c r="I106">
        <f>HYPERLINK("https://athena.uww.org/p/66990")</f>
        <v>0</v>
      </c>
    </row>
    <row r="107" spans="1:9">
      <c r="A107">
        <v>5224</v>
      </c>
      <c r="B107" t="s">
        <v>114</v>
      </c>
      <c r="C107" t="s">
        <v>1339</v>
      </c>
      <c r="D107" t="s">
        <v>1355</v>
      </c>
      <c r="E107" t="s">
        <v>1441</v>
      </c>
      <c r="F107" t="s">
        <v>1548</v>
      </c>
      <c r="G107" t="b">
        <v>1</v>
      </c>
      <c r="H107">
        <f>HYPERLINK("https://athena.uww.org/media/cache/person_default/uploads/images/56c2d98a2c542.jpg")</f>
        <v>0</v>
      </c>
      <c r="I107">
        <f>HYPERLINK("https://athena.uww.org/p/5224")</f>
        <v>0</v>
      </c>
    </row>
    <row r="108" spans="1:9">
      <c r="A108">
        <v>59995</v>
      </c>
      <c r="B108" t="s">
        <v>115</v>
      </c>
      <c r="C108" t="s">
        <v>1339</v>
      </c>
      <c r="D108" t="s">
        <v>1355</v>
      </c>
      <c r="E108" t="s">
        <v>1441</v>
      </c>
      <c r="F108" t="s">
        <v>1549</v>
      </c>
      <c r="G108" t="b">
        <v>1</v>
      </c>
      <c r="H108">
        <f>HYPERLINK("https://athena.uww.org/media/cache/person_default/uploads/images/crop/5b740c0390c60.png")</f>
        <v>0</v>
      </c>
      <c r="I108">
        <f>HYPERLINK("https://athena.uww.org/p/59995")</f>
        <v>0</v>
      </c>
    </row>
    <row r="109" spans="1:9">
      <c r="A109">
        <v>5431</v>
      </c>
      <c r="B109" t="s">
        <v>116</v>
      </c>
      <c r="C109" t="s">
        <v>1339</v>
      </c>
      <c r="D109" t="s">
        <v>1355</v>
      </c>
      <c r="E109" t="s">
        <v>1441</v>
      </c>
      <c r="F109" t="s">
        <v>1550</v>
      </c>
      <c r="G109" t="b">
        <v>1</v>
      </c>
      <c r="H109">
        <f>HYPERLINK("https://athena.uww.org/media/cache/person_default/uploads/images/referee-5431.jpg")</f>
        <v>0</v>
      </c>
      <c r="I109">
        <f>HYPERLINK("https://athena.uww.org/p/5431")</f>
        <v>0</v>
      </c>
    </row>
    <row r="110" spans="1:9">
      <c r="A110">
        <v>19179</v>
      </c>
      <c r="B110" t="s">
        <v>117</v>
      </c>
      <c r="C110" t="s">
        <v>1339</v>
      </c>
      <c r="D110" t="s">
        <v>1355</v>
      </c>
      <c r="E110" t="s">
        <v>1439</v>
      </c>
      <c r="F110" t="s">
        <v>1551</v>
      </c>
      <c r="G110" t="b">
        <v>1</v>
      </c>
      <c r="H110">
        <f>HYPERLINK("https://athena.uww.org/media/cache/person_default/uploads/images/56a7a0be0af2f.jpg")</f>
        <v>0</v>
      </c>
      <c r="I110">
        <f>HYPERLINK("https://athena.uww.org/p/19179")</f>
        <v>0</v>
      </c>
    </row>
    <row r="111" spans="1:9">
      <c r="A111">
        <v>55</v>
      </c>
      <c r="B111" t="s">
        <v>118</v>
      </c>
      <c r="C111" t="s">
        <v>1339</v>
      </c>
      <c r="D111" t="s">
        <v>1355</v>
      </c>
      <c r="E111" t="s">
        <v>1439</v>
      </c>
      <c r="F111" t="s">
        <v>1552</v>
      </c>
      <c r="G111" t="b">
        <v>1</v>
      </c>
      <c r="H111">
        <f>HYPERLINK("https://athena.uww.org/media/cache/person_default/uploads/images/567a7b2c9e88e.jpg")</f>
        <v>0</v>
      </c>
      <c r="I111">
        <f>HYPERLINK("https://athena.uww.org/p/55")</f>
        <v>0</v>
      </c>
    </row>
    <row r="112" spans="1:9">
      <c r="A112">
        <v>51531</v>
      </c>
      <c r="B112" t="s">
        <v>119</v>
      </c>
      <c r="C112" t="s">
        <v>1339</v>
      </c>
      <c r="D112" t="s">
        <v>1355</v>
      </c>
      <c r="E112" t="s">
        <v>1439</v>
      </c>
      <c r="F112" t="s">
        <v>1553</v>
      </c>
      <c r="G112" t="b">
        <v>1</v>
      </c>
      <c r="H112">
        <f>HYPERLINK("https://athena.uww.org/media/cache/person_default/uploads/images/crop/59c362f46dcf2.png")</f>
        <v>0</v>
      </c>
      <c r="I112">
        <f>HYPERLINK("https://athena.uww.org/p/51531")</f>
        <v>0</v>
      </c>
    </row>
    <row r="113" spans="1:9">
      <c r="A113">
        <v>5383</v>
      </c>
      <c r="B113" t="s">
        <v>120</v>
      </c>
      <c r="C113" t="s">
        <v>1339</v>
      </c>
      <c r="D113" t="s">
        <v>1355</v>
      </c>
      <c r="E113" t="s">
        <v>1439</v>
      </c>
      <c r="F113" t="s">
        <v>1554</v>
      </c>
      <c r="G113" t="b">
        <v>1</v>
      </c>
      <c r="H113">
        <f>HYPERLINK("https://athena.uww.org/media/cache/person_default/uploads/images/referee-5383.jpg")</f>
        <v>0</v>
      </c>
      <c r="I113">
        <f>HYPERLINK("https://athena.uww.org/p/5383")</f>
        <v>0</v>
      </c>
    </row>
    <row r="114" spans="1:9">
      <c r="A114">
        <v>86353</v>
      </c>
      <c r="B114" t="s">
        <v>121</v>
      </c>
      <c r="C114" t="s">
        <v>1339</v>
      </c>
      <c r="D114" t="s">
        <v>1355</v>
      </c>
      <c r="E114" t="s">
        <v>1439</v>
      </c>
      <c r="F114" t="s">
        <v>1555</v>
      </c>
      <c r="G114" t="b">
        <v>1</v>
      </c>
      <c r="H114">
        <f>HYPERLINK("https://athena.uww.org/media/cache/person_default/uploads/images/crop/6319edaf5157e979035776.png")</f>
        <v>0</v>
      </c>
      <c r="I114">
        <f>HYPERLINK("https://athena.uww.org/p/86353")</f>
        <v>0</v>
      </c>
    </row>
    <row r="115" spans="1:9">
      <c r="A115">
        <v>527</v>
      </c>
      <c r="B115" t="s">
        <v>122</v>
      </c>
      <c r="C115" t="s">
        <v>1339</v>
      </c>
      <c r="D115" t="s">
        <v>1355</v>
      </c>
      <c r="E115" t="s">
        <v>1439</v>
      </c>
      <c r="F115" t="s">
        <v>1556</v>
      </c>
      <c r="G115" t="b">
        <v>1</v>
      </c>
      <c r="H115">
        <f>HYPERLINK("https://athena.uww.org/media/cache/person_default/uploads/images/crop/5b6c47610a03d.png")</f>
        <v>0</v>
      </c>
      <c r="I115">
        <f>HYPERLINK("https://athena.uww.org/p/527")</f>
        <v>0</v>
      </c>
    </row>
    <row r="116" spans="1:9">
      <c r="A116">
        <v>25445</v>
      </c>
      <c r="B116" t="s">
        <v>123</v>
      </c>
      <c r="C116" t="s">
        <v>1339</v>
      </c>
      <c r="D116" t="s">
        <v>1355</v>
      </c>
      <c r="E116" t="s">
        <v>1439</v>
      </c>
      <c r="F116" t="s">
        <v>1557</v>
      </c>
      <c r="G116" t="b">
        <v>1</v>
      </c>
      <c r="H116">
        <f>HYPERLINK("https://athena.uww.org/media/cache/person_default/uploads/images/1021210385001.jpg")</f>
        <v>0</v>
      </c>
      <c r="I116">
        <f>HYPERLINK("https://athena.uww.org/p/25445")</f>
        <v>0</v>
      </c>
    </row>
    <row r="117" spans="1:9">
      <c r="A117">
        <v>74860</v>
      </c>
      <c r="B117" t="s">
        <v>124</v>
      </c>
      <c r="C117" t="s">
        <v>1340</v>
      </c>
      <c r="D117" t="s">
        <v>1355</v>
      </c>
      <c r="E117" t="s">
        <v>1439</v>
      </c>
      <c r="F117" t="s">
        <v>1558</v>
      </c>
      <c r="G117" t="b">
        <v>0</v>
      </c>
      <c r="H117">
        <f>HYPERLINK("https://athena.uww.org/media/cache/person_default/uploads/images/crop/60866c56783d1072750752.png")</f>
        <v>0</v>
      </c>
      <c r="I117">
        <f>HYPERLINK("https://athena.uww.org/p/74860")</f>
        <v>0</v>
      </c>
    </row>
    <row r="118" spans="1:9">
      <c r="A118">
        <v>3424</v>
      </c>
      <c r="B118" t="s">
        <v>125</v>
      </c>
      <c r="C118" t="s">
        <v>1339</v>
      </c>
      <c r="D118" t="s">
        <v>1355</v>
      </c>
      <c r="E118" t="s">
        <v>1439</v>
      </c>
      <c r="F118" t="s">
        <v>1559</v>
      </c>
      <c r="G118" t="b">
        <v>1</v>
      </c>
      <c r="H118">
        <f>HYPERLINK("https://athena.uww.org/media/cache/person_default/uploads/images/568e164a4f5cc.jpg")</f>
        <v>0</v>
      </c>
      <c r="I118">
        <f>HYPERLINK("https://athena.uww.org/p/3424")</f>
        <v>0</v>
      </c>
    </row>
    <row r="119" spans="1:9">
      <c r="A119">
        <v>74756</v>
      </c>
      <c r="B119" t="s">
        <v>126</v>
      </c>
      <c r="C119" t="s">
        <v>1339</v>
      </c>
      <c r="D119" t="s">
        <v>1355</v>
      </c>
      <c r="E119" t="s">
        <v>1442</v>
      </c>
      <c r="F119" t="s">
        <v>1560</v>
      </c>
      <c r="G119" t="b">
        <v>1</v>
      </c>
      <c r="H119">
        <f>HYPERLINK("https://athena.uww.org/media/cache/person_default/uploads/images/crop/607d7c637ed84680720517.png")</f>
        <v>0</v>
      </c>
      <c r="I119">
        <f>HYPERLINK("https://athena.uww.org/p/74756")</f>
        <v>0</v>
      </c>
    </row>
    <row r="120" spans="1:9">
      <c r="A120">
        <v>98273</v>
      </c>
      <c r="B120" t="s">
        <v>127</v>
      </c>
      <c r="C120" t="s">
        <v>1339</v>
      </c>
      <c r="D120" t="s">
        <v>1355</v>
      </c>
      <c r="E120" t="s">
        <v>1442</v>
      </c>
      <c r="F120" t="s">
        <v>1561</v>
      </c>
      <c r="G120" t="b">
        <v>1</v>
      </c>
      <c r="H120">
        <f>HYPERLINK("https://athena.uww.org/media/cache/person_default/uploads/images/crop/6603c9c551f49431139529.png")</f>
        <v>0</v>
      </c>
      <c r="I120">
        <f>HYPERLINK("https://athena.uww.org/p/98273")</f>
        <v>0</v>
      </c>
    </row>
    <row r="121" spans="1:9">
      <c r="A121">
        <v>22533</v>
      </c>
      <c r="B121" t="s">
        <v>128</v>
      </c>
      <c r="C121" t="s">
        <v>1340</v>
      </c>
      <c r="D121" t="s">
        <v>1355</v>
      </c>
      <c r="E121" t="s">
        <v>1442</v>
      </c>
      <c r="F121" t="s">
        <v>1562</v>
      </c>
      <c r="G121" t="b">
        <v>0</v>
      </c>
      <c r="H121">
        <f>HYPERLINK("https://athena.uww.org/media/cache/person_default/uploads/images/crop/60dacffbababa013738190.png")</f>
        <v>0</v>
      </c>
      <c r="I121">
        <f>HYPERLINK("https://athena.uww.org/p/22533")</f>
        <v>0</v>
      </c>
    </row>
    <row r="122" spans="1:9">
      <c r="A122">
        <v>4635</v>
      </c>
      <c r="B122" t="s">
        <v>129</v>
      </c>
      <c r="C122" t="s">
        <v>1339</v>
      </c>
      <c r="D122" t="s">
        <v>1355</v>
      </c>
      <c r="E122" t="s">
        <v>1442</v>
      </c>
      <c r="F122" t="s">
        <v>1563</v>
      </c>
      <c r="G122" t="b">
        <v>0</v>
      </c>
      <c r="H122">
        <f>HYPERLINK("https://athena.uww.org/media/cache/person_default/uploads/images/referee-4635.jpg")</f>
        <v>0</v>
      </c>
      <c r="I122">
        <f>HYPERLINK("https://athena.uww.org/p/4635")</f>
        <v>0</v>
      </c>
    </row>
    <row r="123" spans="1:9">
      <c r="A123">
        <v>4024</v>
      </c>
      <c r="B123" t="s">
        <v>130</v>
      </c>
      <c r="C123" t="s">
        <v>1339</v>
      </c>
      <c r="D123" t="s">
        <v>1355</v>
      </c>
      <c r="E123" t="s">
        <v>1442</v>
      </c>
      <c r="F123" t="s">
        <v>1564</v>
      </c>
      <c r="G123" t="b">
        <v>0</v>
      </c>
      <c r="H123">
        <f>HYPERLINK("https://athena.uww.org/media/cache/person_default/uploads/images/crop/61ce9f8600108765321074.png")</f>
        <v>0</v>
      </c>
      <c r="I123">
        <f>HYPERLINK("https://athena.uww.org/p/4024")</f>
        <v>0</v>
      </c>
    </row>
    <row r="124" spans="1:9">
      <c r="A124">
        <v>105826</v>
      </c>
      <c r="B124" t="s">
        <v>131</v>
      </c>
      <c r="C124" t="s">
        <v>1339</v>
      </c>
      <c r="D124" t="s">
        <v>1355</v>
      </c>
      <c r="E124" t="s">
        <v>1442</v>
      </c>
      <c r="F124" t="s">
        <v>1565</v>
      </c>
      <c r="G124" t="b">
        <v>1</v>
      </c>
      <c r="H124">
        <f>HYPERLINK("https://athena.uww.org/media/cache/person_default/uploads/images/67f4d8ec0720d416233386.jpg")</f>
        <v>0</v>
      </c>
      <c r="I124">
        <f>HYPERLINK("https://athena.uww.org/p/105826")</f>
        <v>0</v>
      </c>
    </row>
    <row r="125" spans="1:9">
      <c r="A125">
        <v>76455</v>
      </c>
      <c r="B125" t="s">
        <v>132</v>
      </c>
      <c r="C125" t="s">
        <v>1339</v>
      </c>
      <c r="D125" t="s">
        <v>1355</v>
      </c>
      <c r="E125" t="s">
        <v>1442</v>
      </c>
      <c r="F125" t="s">
        <v>1566</v>
      </c>
      <c r="G125" t="b">
        <v>1</v>
      </c>
      <c r="H125">
        <f>HYPERLINK("https://athena.uww.org/media/cache/person_default/uploads/images/crop/68b92bfac0aa9898892463.png")</f>
        <v>0</v>
      </c>
      <c r="I125">
        <f>HYPERLINK("https://athena.uww.org/p/76455")</f>
        <v>0</v>
      </c>
    </row>
    <row r="126" spans="1:9">
      <c r="A126">
        <v>82244</v>
      </c>
      <c r="B126" t="s">
        <v>133</v>
      </c>
      <c r="C126" t="s">
        <v>1339</v>
      </c>
      <c r="D126" t="s">
        <v>1356</v>
      </c>
      <c r="E126" t="s">
        <v>1442</v>
      </c>
      <c r="F126" t="s">
        <v>1567</v>
      </c>
      <c r="G126" t="b">
        <v>1</v>
      </c>
      <c r="H126">
        <f>HYPERLINK("https://athena.uww.org/media/cache/person_default/uploads/images/crop/62726205c3873956509067.png")</f>
        <v>0</v>
      </c>
      <c r="I126">
        <f>HYPERLINK("https://athena.uww.org/p/82244")</f>
        <v>0</v>
      </c>
    </row>
    <row r="127" spans="1:9">
      <c r="A127">
        <v>35782</v>
      </c>
      <c r="B127" t="s">
        <v>134</v>
      </c>
      <c r="C127" t="s">
        <v>1340</v>
      </c>
      <c r="D127" t="s">
        <v>1357</v>
      </c>
      <c r="E127" t="s">
        <v>1440</v>
      </c>
      <c r="F127" t="s">
        <v>1568</v>
      </c>
      <c r="G127" t="b">
        <v>1</v>
      </c>
      <c r="H127">
        <f>HYPERLINK("https://athena.uww.org/media/cache/person_default/uploads/images/crop/63cb9e90ec6c5821689312.png")</f>
        <v>0</v>
      </c>
      <c r="I127">
        <f>HYPERLINK("https://athena.uww.org/p/35782")</f>
        <v>0</v>
      </c>
    </row>
    <row r="128" spans="1:9">
      <c r="A128">
        <v>4443</v>
      </c>
      <c r="B128" t="s">
        <v>135</v>
      </c>
      <c r="C128" t="s">
        <v>1339</v>
      </c>
      <c r="D128" t="s">
        <v>1357</v>
      </c>
      <c r="E128" t="s">
        <v>1440</v>
      </c>
      <c r="F128" t="s">
        <v>1569</v>
      </c>
      <c r="G128" t="b">
        <v>1</v>
      </c>
      <c r="H128">
        <f>HYPERLINK("https://athena.uww.org/media/cache/person_default/uploads/images/crop/63cb9f8ab38ce859875235.png")</f>
        <v>0</v>
      </c>
      <c r="I128">
        <f>HYPERLINK("https://athena.uww.org/p/4443")</f>
        <v>0</v>
      </c>
    </row>
    <row r="129" spans="1:9">
      <c r="A129">
        <v>5069</v>
      </c>
      <c r="B129" t="s">
        <v>136</v>
      </c>
      <c r="C129" t="s">
        <v>1340</v>
      </c>
      <c r="D129" t="s">
        <v>1357</v>
      </c>
      <c r="E129" t="s">
        <v>1440</v>
      </c>
      <c r="F129" t="s">
        <v>1570</v>
      </c>
      <c r="G129" t="b">
        <v>1</v>
      </c>
      <c r="H129">
        <f>HYPERLINK("https://athena.uww.org/media/cache/person_default/uploads/images/crop/63cb9e9961385533070271.png")</f>
        <v>0</v>
      </c>
      <c r="I129">
        <f>HYPERLINK("https://athena.uww.org/p/5069")</f>
        <v>0</v>
      </c>
    </row>
    <row r="130" spans="1:9">
      <c r="A130">
        <v>5246</v>
      </c>
      <c r="B130" t="s">
        <v>137</v>
      </c>
      <c r="C130" t="s">
        <v>1339</v>
      </c>
      <c r="D130" t="s">
        <v>1357</v>
      </c>
      <c r="E130" t="s">
        <v>1440</v>
      </c>
      <c r="F130" t="s">
        <v>1571</v>
      </c>
      <c r="G130" t="b">
        <v>1</v>
      </c>
      <c r="H130">
        <f>HYPERLINK("https://athena.uww.org/media/cache/person_default/uploads/images/crop/63cb9dc1e3d8c607340524.png")</f>
        <v>0</v>
      </c>
      <c r="I130">
        <f>HYPERLINK("https://athena.uww.org/p/5246")</f>
        <v>0</v>
      </c>
    </row>
    <row r="131" spans="1:9">
      <c r="A131">
        <v>4445</v>
      </c>
      <c r="B131" t="s">
        <v>138</v>
      </c>
      <c r="C131" t="s">
        <v>1339</v>
      </c>
      <c r="D131" t="s">
        <v>1357</v>
      </c>
      <c r="E131" t="s">
        <v>1440</v>
      </c>
      <c r="F131" t="s">
        <v>1572</v>
      </c>
      <c r="G131" t="b">
        <v>1</v>
      </c>
      <c r="H131">
        <f>HYPERLINK("https://athena.uww.org/media/cache/person_default/uploads/images/crop/63cb9e9fa3db0940569795.png")</f>
        <v>0</v>
      </c>
      <c r="I131">
        <f>HYPERLINK("https://athena.uww.org/p/4445")</f>
        <v>0</v>
      </c>
    </row>
    <row r="132" spans="1:9">
      <c r="A132">
        <v>5464</v>
      </c>
      <c r="B132" t="s">
        <v>139</v>
      </c>
      <c r="C132" t="s">
        <v>1339</v>
      </c>
      <c r="D132" t="s">
        <v>1357</v>
      </c>
      <c r="E132" t="s">
        <v>1441</v>
      </c>
      <c r="F132" t="s">
        <v>1573</v>
      </c>
      <c r="G132" t="b">
        <v>1</v>
      </c>
      <c r="H132">
        <f>HYPERLINK("https://athena.uww.org/media/cache/person_default/uploads/images/referee-5464.jpg")</f>
        <v>0</v>
      </c>
      <c r="I132">
        <f>HYPERLINK("https://athena.uww.org/p/5464")</f>
        <v>0</v>
      </c>
    </row>
    <row r="133" spans="1:9">
      <c r="A133">
        <v>5340</v>
      </c>
      <c r="B133" t="s">
        <v>140</v>
      </c>
      <c r="C133" t="s">
        <v>1339</v>
      </c>
      <c r="D133" t="s">
        <v>1357</v>
      </c>
      <c r="E133" t="s">
        <v>1441</v>
      </c>
      <c r="F133" t="s">
        <v>1574</v>
      </c>
      <c r="G133" t="b">
        <v>1</v>
      </c>
      <c r="H133">
        <f>HYPERLINK("https://athena.uww.org/media/cache/person_default/uploads/images/referee-5340.jpg")</f>
        <v>0</v>
      </c>
      <c r="I133">
        <f>HYPERLINK("https://athena.uww.org/p/5340")</f>
        <v>0</v>
      </c>
    </row>
    <row r="134" spans="1:9">
      <c r="A134">
        <v>4584</v>
      </c>
      <c r="B134" t="s">
        <v>141</v>
      </c>
      <c r="C134" t="s">
        <v>1339</v>
      </c>
      <c r="D134" t="s">
        <v>1357</v>
      </c>
      <c r="E134" t="s">
        <v>1441</v>
      </c>
      <c r="F134" t="s">
        <v>1575</v>
      </c>
      <c r="G134" t="b">
        <v>1</v>
      </c>
      <c r="H134">
        <f>HYPERLINK("https://athena.uww.org/media/cache/person_default/uploads/images/crop/6192321517eab087511626.png")</f>
        <v>0</v>
      </c>
      <c r="I134">
        <f>HYPERLINK("https://athena.uww.org/p/4584")</f>
        <v>0</v>
      </c>
    </row>
    <row r="135" spans="1:9">
      <c r="A135">
        <v>4560</v>
      </c>
      <c r="B135" t="s">
        <v>142</v>
      </c>
      <c r="C135" t="s">
        <v>1339</v>
      </c>
      <c r="D135" t="s">
        <v>1357</v>
      </c>
      <c r="E135" t="s">
        <v>1441</v>
      </c>
      <c r="F135" t="s">
        <v>1576</v>
      </c>
      <c r="G135" t="b">
        <v>1</v>
      </c>
      <c r="H135">
        <f>HYPERLINK("https://athena.uww.org/media/cache/person_default/uploads/images/569794367fbbe.jpg")</f>
        <v>0</v>
      </c>
      <c r="I135">
        <f>HYPERLINK("https://athena.uww.org/p/4560")</f>
        <v>0</v>
      </c>
    </row>
    <row r="136" spans="1:9">
      <c r="A136">
        <v>4561</v>
      </c>
      <c r="B136" t="s">
        <v>143</v>
      </c>
      <c r="C136" t="s">
        <v>1339</v>
      </c>
      <c r="D136" t="s">
        <v>1357</v>
      </c>
      <c r="E136" t="s">
        <v>1441</v>
      </c>
      <c r="F136" t="s">
        <v>1577</v>
      </c>
      <c r="G136" t="b">
        <v>1</v>
      </c>
      <c r="H136">
        <f>HYPERLINK("https://athena.uww.org/media/cache/person_default/uploads/images/56d3fa5d1bf27.jpg")</f>
        <v>0</v>
      </c>
      <c r="I136">
        <f>HYPERLINK("https://athena.uww.org/p/4561")</f>
        <v>0</v>
      </c>
    </row>
    <row r="137" spans="1:9">
      <c r="A137">
        <v>4414</v>
      </c>
      <c r="B137" t="s">
        <v>144</v>
      </c>
      <c r="C137" t="s">
        <v>1339</v>
      </c>
      <c r="D137" t="s">
        <v>1357</v>
      </c>
      <c r="E137" t="s">
        <v>1441</v>
      </c>
      <c r="F137" t="s">
        <v>1578</v>
      </c>
      <c r="G137" t="b">
        <v>1</v>
      </c>
      <c r="H137">
        <f>HYPERLINK("https://athena.uww.org/media/cache/person_default/uploads/images/referee-4414.jpg")</f>
        <v>0</v>
      </c>
      <c r="I137">
        <f>HYPERLINK("https://athena.uww.org/p/4414")</f>
        <v>0</v>
      </c>
    </row>
    <row r="138" spans="1:9">
      <c r="A138">
        <v>66986</v>
      </c>
      <c r="B138" t="s">
        <v>145</v>
      </c>
      <c r="C138" t="s">
        <v>1339</v>
      </c>
      <c r="D138" t="s">
        <v>1357</v>
      </c>
      <c r="E138" t="s">
        <v>1441</v>
      </c>
      <c r="F138" t="s">
        <v>1579</v>
      </c>
      <c r="G138" t="b">
        <v>1</v>
      </c>
      <c r="H138">
        <f>HYPERLINK("https://athena.uww.org/media/cache/person_default/uploads/images/62c6203e4a2bf757488311.jpg")</f>
        <v>0</v>
      </c>
      <c r="I138">
        <f>HYPERLINK("https://athena.uww.org/p/66986")</f>
        <v>0</v>
      </c>
    </row>
    <row r="139" spans="1:9">
      <c r="A139">
        <v>5247</v>
      </c>
      <c r="B139" t="s">
        <v>146</v>
      </c>
      <c r="C139" t="s">
        <v>1339</v>
      </c>
      <c r="D139" t="s">
        <v>1357</v>
      </c>
      <c r="E139" t="s">
        <v>1441</v>
      </c>
      <c r="F139" t="s">
        <v>1580</v>
      </c>
      <c r="G139" t="b">
        <v>1</v>
      </c>
      <c r="H139">
        <f>HYPERLINK("https://athena.uww.org/media/cache/person_default/uploads/images/referee-5247.jpg")</f>
        <v>0</v>
      </c>
      <c r="I139">
        <f>HYPERLINK("https://athena.uww.org/p/5247")</f>
        <v>0</v>
      </c>
    </row>
    <row r="140" spans="1:9">
      <c r="A140">
        <v>84725</v>
      </c>
      <c r="B140" t="s">
        <v>147</v>
      </c>
      <c r="C140" t="s">
        <v>1339</v>
      </c>
      <c r="D140" t="s">
        <v>1357</v>
      </c>
      <c r="E140" t="s">
        <v>1441</v>
      </c>
      <c r="F140" t="s">
        <v>1581</v>
      </c>
      <c r="G140" t="b">
        <v>1</v>
      </c>
      <c r="H140">
        <f>HYPERLINK("https://athena.uww.org/media/cache/person_default/uploads/images/62a8944b52fc2532516311.jpg")</f>
        <v>0</v>
      </c>
      <c r="I140">
        <f>HYPERLINK("https://athena.uww.org/p/84725")</f>
        <v>0</v>
      </c>
    </row>
    <row r="141" spans="1:9">
      <c r="A141">
        <v>4955</v>
      </c>
      <c r="B141" t="s">
        <v>148</v>
      </c>
      <c r="C141" t="s">
        <v>1339</v>
      </c>
      <c r="D141" t="s">
        <v>1357</v>
      </c>
      <c r="E141" t="s">
        <v>1441</v>
      </c>
      <c r="F141" t="s">
        <v>1582</v>
      </c>
      <c r="G141" t="b">
        <v>1</v>
      </c>
      <c r="H141">
        <f>HYPERLINK("https://athena.uww.org/media/cache/person_default/uploads/images/referee-4955.jpg")</f>
        <v>0</v>
      </c>
      <c r="I141">
        <f>HYPERLINK("https://athena.uww.org/p/4955")</f>
        <v>0</v>
      </c>
    </row>
    <row r="142" spans="1:9">
      <c r="A142">
        <v>4061</v>
      </c>
      <c r="B142" t="s">
        <v>149</v>
      </c>
      <c r="C142" t="s">
        <v>1340</v>
      </c>
      <c r="D142" t="s">
        <v>1357</v>
      </c>
      <c r="E142" t="s">
        <v>1441</v>
      </c>
      <c r="F142" t="s">
        <v>1583</v>
      </c>
      <c r="G142" t="b">
        <v>1</v>
      </c>
      <c r="H142">
        <f>HYPERLINK("https://athena.uww.org/media/cache/person_default/uploads/images/referee-4061.jpg")</f>
        <v>0</v>
      </c>
      <c r="I142">
        <f>HYPERLINK("https://athena.uww.org/p/4061")</f>
        <v>0</v>
      </c>
    </row>
    <row r="143" spans="1:9">
      <c r="A143">
        <v>3592</v>
      </c>
      <c r="B143" t="s">
        <v>150</v>
      </c>
      <c r="C143" t="s">
        <v>1339</v>
      </c>
      <c r="D143" t="s">
        <v>1357</v>
      </c>
      <c r="E143" t="s">
        <v>1441</v>
      </c>
      <c r="F143" t="s">
        <v>1584</v>
      </c>
      <c r="G143" t="b">
        <v>1</v>
      </c>
      <c r="H143">
        <f>HYPERLINK("https://athena.uww.org/media/cache/person_default/uploads/images/5616942d028a7.jpg")</f>
        <v>0</v>
      </c>
      <c r="I143">
        <f>HYPERLINK("https://athena.uww.org/p/3592")</f>
        <v>0</v>
      </c>
    </row>
    <row r="144" spans="1:9">
      <c r="A144">
        <v>58921</v>
      </c>
      <c r="B144" t="s">
        <v>151</v>
      </c>
      <c r="C144" t="s">
        <v>1340</v>
      </c>
      <c r="D144" t="s">
        <v>1357</v>
      </c>
      <c r="E144" t="s">
        <v>1441</v>
      </c>
      <c r="F144" t="s">
        <v>1585</v>
      </c>
      <c r="G144" t="b">
        <v>1</v>
      </c>
      <c r="H144">
        <f>HYPERLINK("https://athena.uww.org/media/cache/person_default/uploads/images/crop/5b1e0bae11eb3.png")</f>
        <v>0</v>
      </c>
      <c r="I144">
        <f>HYPERLINK("https://athena.uww.org/p/58921")</f>
        <v>0</v>
      </c>
    </row>
    <row r="145" spans="1:9">
      <c r="A145">
        <v>4982</v>
      </c>
      <c r="B145" t="s">
        <v>152</v>
      </c>
      <c r="C145" t="s">
        <v>1339</v>
      </c>
      <c r="D145" t="s">
        <v>1357</v>
      </c>
      <c r="E145" t="s">
        <v>1441</v>
      </c>
      <c r="F145" t="s">
        <v>1586</v>
      </c>
      <c r="G145" t="b">
        <v>1</v>
      </c>
      <c r="H145">
        <f>HYPERLINK("https://athena.uww.org/media/cache/person_default/uploads/images/referee-4982.jpg")</f>
        <v>0</v>
      </c>
      <c r="I145">
        <f>HYPERLINK("https://athena.uww.org/p/4982")</f>
        <v>0</v>
      </c>
    </row>
    <row r="146" spans="1:9">
      <c r="A146">
        <v>67273</v>
      </c>
      <c r="B146" t="s">
        <v>153</v>
      </c>
      <c r="C146" t="s">
        <v>1339</v>
      </c>
      <c r="D146" t="s">
        <v>1357</v>
      </c>
      <c r="E146" t="s">
        <v>1439</v>
      </c>
      <c r="F146" t="s">
        <v>1587</v>
      </c>
      <c r="G146" t="b">
        <v>1</v>
      </c>
      <c r="H146">
        <f>HYPERLINK("https://athena.uww.org/media/cache/person_default/uploads/images/5cfe9de52cc66472929204.jpeg")</f>
        <v>0</v>
      </c>
      <c r="I146">
        <f>HYPERLINK("https://athena.uww.org/p/67273")</f>
        <v>0</v>
      </c>
    </row>
    <row r="147" spans="1:9">
      <c r="A147">
        <v>66996</v>
      </c>
      <c r="B147" t="s">
        <v>154</v>
      </c>
      <c r="C147" t="s">
        <v>1339</v>
      </c>
      <c r="D147" t="s">
        <v>1357</v>
      </c>
      <c r="E147" t="s">
        <v>1439</v>
      </c>
      <c r="F147" t="s">
        <v>1588</v>
      </c>
      <c r="G147" t="b">
        <v>1</v>
      </c>
      <c r="H147">
        <f>HYPERLINK("https://athena.uww.org/media/cache/person_default/uploads/images/615719ff57da9134447541.png")</f>
        <v>0</v>
      </c>
      <c r="I147">
        <f>HYPERLINK("https://athena.uww.org/p/66996")</f>
        <v>0</v>
      </c>
    </row>
    <row r="148" spans="1:9">
      <c r="A148">
        <v>92592</v>
      </c>
      <c r="B148" t="s">
        <v>155</v>
      </c>
      <c r="C148" t="s">
        <v>1339</v>
      </c>
      <c r="D148" t="s">
        <v>1357</v>
      </c>
      <c r="E148" t="s">
        <v>1439</v>
      </c>
      <c r="F148" t="s">
        <v>1589</v>
      </c>
      <c r="G148" t="b">
        <v>1</v>
      </c>
      <c r="H148">
        <f>HYPERLINK("https://athena.uww.org/media/cache/person_default/uploads/images/crop/6486c6be2490c291641318.png")</f>
        <v>0</v>
      </c>
      <c r="I148">
        <f>HYPERLINK("https://athena.uww.org/p/92592")</f>
        <v>0</v>
      </c>
    </row>
    <row r="149" spans="1:9">
      <c r="A149">
        <v>66751</v>
      </c>
      <c r="B149" t="s">
        <v>156</v>
      </c>
      <c r="C149" t="s">
        <v>1339</v>
      </c>
      <c r="D149" t="s">
        <v>1357</v>
      </c>
      <c r="E149" t="s">
        <v>1439</v>
      </c>
      <c r="F149" t="s">
        <v>1590</v>
      </c>
      <c r="G149" t="b">
        <v>1</v>
      </c>
      <c r="H149">
        <f>HYPERLINK("https://athena.uww.org/media/cache/person_default/uploads/images/crop/5cebc8d2da97b412805811.png")</f>
        <v>0</v>
      </c>
      <c r="I149">
        <f>HYPERLINK("https://athena.uww.org/p/66751")</f>
        <v>0</v>
      </c>
    </row>
    <row r="150" spans="1:9">
      <c r="A150">
        <v>92593</v>
      </c>
      <c r="B150" t="s">
        <v>157</v>
      </c>
      <c r="C150" t="s">
        <v>1339</v>
      </c>
      <c r="D150" t="s">
        <v>1357</v>
      </c>
      <c r="E150" t="s">
        <v>1439</v>
      </c>
      <c r="F150" t="s">
        <v>1591</v>
      </c>
      <c r="G150" t="b">
        <v>1</v>
      </c>
      <c r="H150">
        <f>HYPERLINK("https://athena.uww.org/media/cache/person_default/uploads/images/crop/6486c4f018ed6999687805.png")</f>
        <v>0</v>
      </c>
      <c r="I150">
        <f>HYPERLINK("https://athena.uww.org/p/92593")</f>
        <v>0</v>
      </c>
    </row>
    <row r="151" spans="1:9">
      <c r="A151">
        <v>5432</v>
      </c>
      <c r="B151" t="s">
        <v>158</v>
      </c>
      <c r="C151" t="s">
        <v>1340</v>
      </c>
      <c r="D151" t="s">
        <v>1357</v>
      </c>
      <c r="E151" t="s">
        <v>1439</v>
      </c>
      <c r="F151" t="s">
        <v>1592</v>
      </c>
      <c r="G151" t="b">
        <v>1</v>
      </c>
      <c r="H151">
        <f>HYPERLINK("https://athena.uww.org/media/cache/person_default/uploads/images/referee-5432.jpg")</f>
        <v>0</v>
      </c>
      <c r="I151">
        <f>HYPERLINK("https://athena.uww.org/p/5432")</f>
        <v>0</v>
      </c>
    </row>
    <row r="152" spans="1:9">
      <c r="A152">
        <v>102129</v>
      </c>
      <c r="B152" t="s">
        <v>159</v>
      </c>
      <c r="C152" t="s">
        <v>1339</v>
      </c>
      <c r="D152" t="s">
        <v>1357</v>
      </c>
      <c r="E152" t="s">
        <v>1442</v>
      </c>
      <c r="F152" t="s">
        <v>1593</v>
      </c>
      <c r="G152" t="b">
        <v>0</v>
      </c>
      <c r="H152">
        <f>HYPERLINK("https://athena.uww.org/media/cache/person_default/uploads/images/crop/667bb9fd6afc1074107763.png")</f>
        <v>0</v>
      </c>
      <c r="I152">
        <f>HYPERLINK("https://athena.uww.org/p/102129")</f>
        <v>0</v>
      </c>
    </row>
    <row r="153" spans="1:9">
      <c r="A153">
        <v>109227</v>
      </c>
      <c r="B153" t="s">
        <v>160</v>
      </c>
      <c r="C153" t="s">
        <v>1339</v>
      </c>
      <c r="D153" t="s">
        <v>1357</v>
      </c>
      <c r="E153" t="s">
        <v>1442</v>
      </c>
      <c r="F153" t="s">
        <v>1594</v>
      </c>
      <c r="G153" t="b">
        <v>1</v>
      </c>
      <c r="H153">
        <f>HYPERLINK("https://athena.uww.org/media/cache/person_default/uploads/images/68533b015dbde625857431.png")</f>
        <v>0</v>
      </c>
      <c r="I153">
        <f>HYPERLINK("https://athena.uww.org/p/109227")</f>
        <v>0</v>
      </c>
    </row>
    <row r="154" spans="1:9">
      <c r="A154">
        <v>8973</v>
      </c>
      <c r="B154" t="s">
        <v>161</v>
      </c>
      <c r="C154" t="s">
        <v>1340</v>
      </c>
      <c r="D154" t="s">
        <v>1357</v>
      </c>
      <c r="E154" t="s">
        <v>1442</v>
      </c>
      <c r="F154" t="s">
        <v>1595</v>
      </c>
      <c r="G154" t="b">
        <v>0</v>
      </c>
      <c r="H154">
        <f>HYPERLINK("https://athena.uww.org/media/cache/person_default/uploads/images/2025160788001.jpg")</f>
        <v>0</v>
      </c>
      <c r="I154">
        <f>HYPERLINK("https://athena.uww.org/p/8973")</f>
        <v>0</v>
      </c>
    </row>
    <row r="155" spans="1:9">
      <c r="A155">
        <v>109228</v>
      </c>
      <c r="B155" t="s">
        <v>162</v>
      </c>
      <c r="C155" t="s">
        <v>1339</v>
      </c>
      <c r="D155" t="s">
        <v>1357</v>
      </c>
      <c r="E155" t="s">
        <v>1442</v>
      </c>
      <c r="F155" t="s">
        <v>1596</v>
      </c>
      <c r="G155" t="b">
        <v>1</v>
      </c>
      <c r="H155">
        <f>HYPERLINK("https://athena.uww.org/media/cache/person_default/uploads/images/crop/685413c7afad4439380307.png")</f>
        <v>0</v>
      </c>
      <c r="I155">
        <f>HYPERLINK("https://athena.uww.org/p/109228")</f>
        <v>0</v>
      </c>
    </row>
    <row r="156" spans="1:9">
      <c r="A156">
        <v>19792</v>
      </c>
      <c r="B156" t="s">
        <v>163</v>
      </c>
      <c r="C156" t="s">
        <v>1339</v>
      </c>
      <c r="D156" t="s">
        <v>1357</v>
      </c>
      <c r="E156" t="s">
        <v>1442</v>
      </c>
      <c r="F156" t="s">
        <v>1597</v>
      </c>
      <c r="G156" t="b">
        <v>1</v>
      </c>
      <c r="H156">
        <f>HYPERLINK("https://athena.uww.org/media/cache/person_default/uploads/images/crop/685510b2d303d088477036.png")</f>
        <v>0</v>
      </c>
      <c r="I156">
        <f>HYPERLINK("https://athena.uww.org/p/19792")</f>
        <v>0</v>
      </c>
    </row>
    <row r="157" spans="1:9">
      <c r="A157">
        <v>4502</v>
      </c>
      <c r="B157" t="s">
        <v>164</v>
      </c>
      <c r="C157" t="s">
        <v>1339</v>
      </c>
      <c r="D157" t="s">
        <v>1358</v>
      </c>
      <c r="E157" t="s">
        <v>1441</v>
      </c>
      <c r="F157" t="s">
        <v>1598</v>
      </c>
      <c r="G157" t="b">
        <v>1</v>
      </c>
      <c r="H157">
        <f>HYPERLINK("https://athena.uww.org/media/cache/person_default/uploads/images/55ae59695eaf7.jpg")</f>
        <v>0</v>
      </c>
      <c r="I157">
        <f>HYPERLINK("https://athena.uww.org/p/4502")</f>
        <v>0</v>
      </c>
    </row>
    <row r="158" spans="1:9">
      <c r="A158">
        <v>5068</v>
      </c>
      <c r="B158" t="s">
        <v>165</v>
      </c>
      <c r="C158" t="s">
        <v>1339</v>
      </c>
      <c r="D158" t="s">
        <v>1358</v>
      </c>
      <c r="E158" t="s">
        <v>1439</v>
      </c>
      <c r="F158" t="s">
        <v>1599</v>
      </c>
      <c r="G158" t="b">
        <v>1</v>
      </c>
      <c r="H158">
        <f>HYPERLINK("https://athena.uww.org/media/cache/person_default/uploads/images/crop/67ca8efa1118f482040463.png")</f>
        <v>0</v>
      </c>
      <c r="I158">
        <f>HYPERLINK("https://athena.uww.org/p/5068")</f>
        <v>0</v>
      </c>
    </row>
    <row r="159" spans="1:9">
      <c r="A159">
        <v>92384</v>
      </c>
      <c r="B159" t="s">
        <v>166</v>
      </c>
      <c r="C159" t="s">
        <v>1340</v>
      </c>
      <c r="D159" t="s">
        <v>1358</v>
      </c>
      <c r="E159" t="s">
        <v>1442</v>
      </c>
      <c r="F159" t="s">
        <v>1600</v>
      </c>
      <c r="G159" t="b">
        <v>1</v>
      </c>
      <c r="H159">
        <f>HYPERLINK("https://athena.uww.org/media/cache/person_default/uploads/images/crop/6638d1ad1399e199475910.png")</f>
        <v>0</v>
      </c>
      <c r="I159">
        <f>HYPERLINK("https://athena.uww.org/p/92384")</f>
        <v>0</v>
      </c>
    </row>
    <row r="160" spans="1:9">
      <c r="A160">
        <v>5428</v>
      </c>
      <c r="B160" t="s">
        <v>167</v>
      </c>
      <c r="C160" t="s">
        <v>1339</v>
      </c>
      <c r="D160" t="s">
        <v>1358</v>
      </c>
      <c r="E160" t="s">
        <v>1442</v>
      </c>
      <c r="F160" t="s">
        <v>1601</v>
      </c>
      <c r="G160" t="b">
        <v>1</v>
      </c>
      <c r="H160">
        <f>HYPERLINK("https://athena.uww.org/media/cache/person_default/uploads/images/crop/67a9ababcb7d3376452028.png")</f>
        <v>0</v>
      </c>
      <c r="I160">
        <f>HYPERLINK("https://athena.uww.org/p/5428")</f>
        <v>0</v>
      </c>
    </row>
    <row r="161" spans="1:9">
      <c r="A161">
        <v>24044</v>
      </c>
      <c r="B161" t="s">
        <v>168</v>
      </c>
      <c r="C161" t="s">
        <v>1339</v>
      </c>
      <c r="D161" t="s">
        <v>1358</v>
      </c>
      <c r="E161" t="s">
        <v>1442</v>
      </c>
      <c r="F161" t="s">
        <v>1602</v>
      </c>
      <c r="G161" t="b">
        <v>1</v>
      </c>
      <c r="H161">
        <f>HYPERLINK("https://athena.uww.org/media/cache/person_default/uploads/images/6482d08775d02423434663.jpg")</f>
        <v>0</v>
      </c>
      <c r="I161">
        <f>HYPERLINK("https://athena.uww.org/p/24044")</f>
        <v>0</v>
      </c>
    </row>
    <row r="162" spans="1:9">
      <c r="A162">
        <v>43992</v>
      </c>
      <c r="B162" t="s">
        <v>169</v>
      </c>
      <c r="C162" t="s">
        <v>1339</v>
      </c>
      <c r="D162" t="s">
        <v>1359</v>
      </c>
      <c r="E162" t="s">
        <v>1440</v>
      </c>
      <c r="F162" t="s">
        <v>1603</v>
      </c>
      <c r="G162" t="b">
        <v>1</v>
      </c>
      <c r="H162">
        <f>HYPERLINK("https://athena.uww.org/media/cache/person_default/uploads/images/58eb46b818255.JPG")</f>
        <v>0</v>
      </c>
      <c r="I162">
        <f>HYPERLINK("https://athena.uww.org/p/43992")</f>
        <v>0</v>
      </c>
    </row>
    <row r="163" spans="1:9">
      <c r="A163">
        <v>4308</v>
      </c>
      <c r="B163" t="s">
        <v>170</v>
      </c>
      <c r="C163" t="s">
        <v>1339</v>
      </c>
      <c r="D163" t="s">
        <v>1359</v>
      </c>
      <c r="E163" t="s">
        <v>1440</v>
      </c>
      <c r="F163" t="s">
        <v>1604</v>
      </c>
      <c r="G163" t="b">
        <v>1</v>
      </c>
      <c r="H163">
        <f>HYPERLINK("https://athena.uww.org/media/cache/person_default/uploads/images/crop/63cb9fc504cf4496535716.png")</f>
        <v>0</v>
      </c>
      <c r="I163">
        <f>HYPERLINK("https://athena.uww.org/p/4308")</f>
        <v>0</v>
      </c>
    </row>
    <row r="164" spans="1:9">
      <c r="A164">
        <v>93404</v>
      </c>
      <c r="B164" t="s">
        <v>171</v>
      </c>
      <c r="C164" t="s">
        <v>1340</v>
      </c>
      <c r="D164" t="s">
        <v>1359</v>
      </c>
      <c r="E164" t="s">
        <v>1441</v>
      </c>
      <c r="F164" t="s">
        <v>1605</v>
      </c>
      <c r="G164" t="b">
        <v>1</v>
      </c>
      <c r="H164">
        <f>HYPERLINK("https://athena.uww.org/media/cache/person_default/uploads/images/crop/64a79d658e426264898519.png")</f>
        <v>0</v>
      </c>
      <c r="I164">
        <f>HYPERLINK("https://athena.uww.org/p/93404")</f>
        <v>0</v>
      </c>
    </row>
    <row r="165" spans="1:9">
      <c r="A165">
        <v>93402</v>
      </c>
      <c r="B165" t="s">
        <v>172</v>
      </c>
      <c r="C165" t="s">
        <v>1339</v>
      </c>
      <c r="D165" t="s">
        <v>1359</v>
      </c>
      <c r="E165" t="s">
        <v>1441</v>
      </c>
      <c r="F165" t="s">
        <v>1606</v>
      </c>
      <c r="G165" t="b">
        <v>1</v>
      </c>
      <c r="H165">
        <f>HYPERLINK("https://athena.uww.org/media/cache/person_default/uploads/images/64a61e4e7fd20950521877.jpg")</f>
        <v>0</v>
      </c>
      <c r="I165">
        <f>HYPERLINK("https://athena.uww.org/p/93402")</f>
        <v>0</v>
      </c>
    </row>
    <row r="166" spans="1:9">
      <c r="A166">
        <v>60504</v>
      </c>
      <c r="B166" t="s">
        <v>173</v>
      </c>
      <c r="C166" t="s">
        <v>1339</v>
      </c>
      <c r="D166" t="s">
        <v>1359</v>
      </c>
      <c r="E166" t="s">
        <v>1441</v>
      </c>
      <c r="F166" t="s">
        <v>1607</v>
      </c>
      <c r="G166" t="b">
        <v>1</v>
      </c>
      <c r="H166">
        <f>HYPERLINK("https://athena.uww.org/media/cache/person_default/uploads/images/crop/5b8e967084662.png")</f>
        <v>0</v>
      </c>
      <c r="I166">
        <f>HYPERLINK("https://athena.uww.org/p/60504")</f>
        <v>0</v>
      </c>
    </row>
    <row r="167" spans="1:9">
      <c r="A167">
        <v>84745</v>
      </c>
      <c r="B167" t="s">
        <v>174</v>
      </c>
      <c r="C167" t="s">
        <v>1339</v>
      </c>
      <c r="D167" t="s">
        <v>1359</v>
      </c>
      <c r="E167" t="s">
        <v>1441</v>
      </c>
      <c r="F167" t="s">
        <v>1608</v>
      </c>
      <c r="G167" t="b">
        <v>1</v>
      </c>
      <c r="H167">
        <f>HYPERLINK("https://athena.uww.org/media/cache/person_default/uploads/images/crop/62aade8f7b47c501003397.png")</f>
        <v>0</v>
      </c>
      <c r="I167">
        <f>HYPERLINK("https://athena.uww.org/p/84745")</f>
        <v>0</v>
      </c>
    </row>
    <row r="168" spans="1:9">
      <c r="A168">
        <v>7473</v>
      </c>
      <c r="B168" t="s">
        <v>175</v>
      </c>
      <c r="C168" t="s">
        <v>1339</v>
      </c>
      <c r="D168" t="s">
        <v>1359</v>
      </c>
      <c r="E168" t="s">
        <v>1441</v>
      </c>
      <c r="F168" t="s">
        <v>1609</v>
      </c>
      <c r="G168" t="b">
        <v>1</v>
      </c>
      <c r="H168">
        <f>HYPERLINK("https://athena.uww.org/media/cache/person_default/uploads/images/crop/665d671e7eb32475721826.png")</f>
        <v>0</v>
      </c>
      <c r="I168">
        <f>HYPERLINK("https://athena.uww.org/p/7473")</f>
        <v>0</v>
      </c>
    </row>
    <row r="169" spans="1:9">
      <c r="A169">
        <v>5011</v>
      </c>
      <c r="B169" t="s">
        <v>176</v>
      </c>
      <c r="C169" t="s">
        <v>1339</v>
      </c>
      <c r="D169" t="s">
        <v>1359</v>
      </c>
      <c r="E169" t="s">
        <v>1441</v>
      </c>
      <c r="F169" t="s">
        <v>1610</v>
      </c>
      <c r="G169" t="b">
        <v>1</v>
      </c>
      <c r="H169">
        <f>HYPERLINK("https://athena.uww.org/media/cache/person_default/uploads/images/referee-5011.jpg")</f>
        <v>0</v>
      </c>
      <c r="I169">
        <f>HYPERLINK("https://athena.uww.org/p/5011")</f>
        <v>0</v>
      </c>
    </row>
    <row r="170" spans="1:9">
      <c r="A170">
        <v>60506</v>
      </c>
      <c r="B170" t="s">
        <v>177</v>
      </c>
      <c r="C170" t="s">
        <v>1339</v>
      </c>
      <c r="D170" t="s">
        <v>1359</v>
      </c>
      <c r="E170" t="s">
        <v>1439</v>
      </c>
      <c r="F170" t="s">
        <v>1611</v>
      </c>
      <c r="G170" t="b">
        <v>1</v>
      </c>
      <c r="H170">
        <f>HYPERLINK("https://athena.uww.org/media/cache/person_default/uploads/images/crop/5b8e95ad86874.png")</f>
        <v>0</v>
      </c>
      <c r="I170">
        <f>HYPERLINK("https://athena.uww.org/p/60506")</f>
        <v>0</v>
      </c>
    </row>
    <row r="171" spans="1:9">
      <c r="A171">
        <v>100921</v>
      </c>
      <c r="B171" t="s">
        <v>178</v>
      </c>
      <c r="C171" t="s">
        <v>1339</v>
      </c>
      <c r="D171" t="s">
        <v>1359</v>
      </c>
      <c r="E171" t="s">
        <v>1439</v>
      </c>
      <c r="F171" t="s">
        <v>1612</v>
      </c>
      <c r="G171" t="b">
        <v>1</v>
      </c>
      <c r="H171">
        <f>HYPERLINK("https://athena.uww.org/media/cache/person_default/uploads/images/6655997601f20722306759.jpg")</f>
        <v>0</v>
      </c>
      <c r="I171">
        <f>HYPERLINK("https://athena.uww.org/p/100921")</f>
        <v>0</v>
      </c>
    </row>
    <row r="172" spans="1:9">
      <c r="A172">
        <v>101411</v>
      </c>
      <c r="B172" t="s">
        <v>179</v>
      </c>
      <c r="C172" t="s">
        <v>1340</v>
      </c>
      <c r="D172" t="s">
        <v>1359</v>
      </c>
      <c r="E172" t="s">
        <v>1439</v>
      </c>
      <c r="F172" t="s">
        <v>1613</v>
      </c>
      <c r="G172" t="b">
        <v>1</v>
      </c>
      <c r="H172">
        <f>HYPERLINK("https://athena.uww.org/media/cache/person_default/uploads/images/crop/6662afac1e562554502868.png")</f>
        <v>0</v>
      </c>
      <c r="I172">
        <f>HYPERLINK("https://athena.uww.org/p/101411")</f>
        <v>0</v>
      </c>
    </row>
    <row r="173" spans="1:9">
      <c r="A173">
        <v>60505</v>
      </c>
      <c r="B173" t="s">
        <v>180</v>
      </c>
      <c r="C173" t="s">
        <v>1339</v>
      </c>
      <c r="D173" t="s">
        <v>1359</v>
      </c>
      <c r="E173" t="s">
        <v>1439</v>
      </c>
      <c r="F173" t="s">
        <v>1614</v>
      </c>
      <c r="G173" t="b">
        <v>1</v>
      </c>
      <c r="H173">
        <f>HYPERLINK("https://athena.uww.org/media/cache/person_default/uploads/images/crop/5b8e96d19cfd0.png")</f>
        <v>0</v>
      </c>
      <c r="I173">
        <f>HYPERLINK("https://athena.uww.org/p/60505")</f>
        <v>0</v>
      </c>
    </row>
    <row r="174" spans="1:9">
      <c r="A174">
        <v>93433</v>
      </c>
      <c r="B174" t="s">
        <v>181</v>
      </c>
      <c r="C174" t="s">
        <v>1339</v>
      </c>
      <c r="D174" t="s">
        <v>1359</v>
      </c>
      <c r="E174" t="s">
        <v>1439</v>
      </c>
      <c r="F174" t="s">
        <v>1615</v>
      </c>
      <c r="G174" t="b">
        <v>1</v>
      </c>
      <c r="H174">
        <f>HYPERLINK("https://athena.uww.org/media/cache/person_default/uploads/images/64a7e82fbae62115225609.jpg")</f>
        <v>0</v>
      </c>
      <c r="I174">
        <f>HYPERLINK("https://athena.uww.org/p/93433")</f>
        <v>0</v>
      </c>
    </row>
    <row r="175" spans="1:9">
      <c r="A175">
        <v>93341</v>
      </c>
      <c r="B175" t="s">
        <v>182</v>
      </c>
      <c r="C175" t="s">
        <v>1340</v>
      </c>
      <c r="D175" t="s">
        <v>1359</v>
      </c>
      <c r="E175" t="s">
        <v>1439</v>
      </c>
      <c r="F175" t="s">
        <v>1616</v>
      </c>
      <c r="G175" t="b">
        <v>1</v>
      </c>
      <c r="H175">
        <f>HYPERLINK("https://athena.uww.org/media/cache/person_default/uploads/images/crop/64a4fdb924e5e677972850.png")</f>
        <v>0</v>
      </c>
      <c r="I175">
        <f>HYPERLINK("https://athena.uww.org/p/93341")</f>
        <v>0</v>
      </c>
    </row>
    <row r="176" spans="1:9">
      <c r="A176">
        <v>104315</v>
      </c>
      <c r="B176" t="s">
        <v>183</v>
      </c>
      <c r="C176" t="s">
        <v>1339</v>
      </c>
      <c r="D176" t="s">
        <v>1359</v>
      </c>
      <c r="E176" t="s">
        <v>1442</v>
      </c>
      <c r="F176" t="s">
        <v>1617</v>
      </c>
      <c r="G176" t="b">
        <v>1</v>
      </c>
      <c r="H176">
        <f>HYPERLINK("https://athena.uww.org/media/cache/person_default/uploads/images/6724477f4429c869368947.jpg")</f>
        <v>0</v>
      </c>
      <c r="I176">
        <f>HYPERLINK("https://athena.uww.org/p/104315")</f>
        <v>0</v>
      </c>
    </row>
    <row r="177" spans="1:9">
      <c r="A177">
        <v>13338</v>
      </c>
      <c r="B177" t="s">
        <v>184</v>
      </c>
      <c r="C177" t="s">
        <v>1339</v>
      </c>
      <c r="D177" t="s">
        <v>1359</v>
      </c>
      <c r="E177" t="s">
        <v>1442</v>
      </c>
      <c r="F177" t="s">
        <v>1618</v>
      </c>
      <c r="G177" t="b">
        <v>1</v>
      </c>
      <c r="H177">
        <f>HYPERLINK("https://athena.uww.org/media/cache/person_default/uploads/images/1028120586001.jpg")</f>
        <v>0</v>
      </c>
      <c r="I177">
        <f>HYPERLINK("https://athena.uww.org/p/13338")</f>
        <v>0</v>
      </c>
    </row>
    <row r="178" spans="1:9">
      <c r="A178">
        <v>108941</v>
      </c>
      <c r="B178" t="s">
        <v>185</v>
      </c>
      <c r="C178" t="s">
        <v>1339</v>
      </c>
      <c r="D178" t="s">
        <v>1359</v>
      </c>
      <c r="E178" t="s">
        <v>1442</v>
      </c>
      <c r="F178" t="s">
        <v>1619</v>
      </c>
      <c r="G178" t="b">
        <v>1</v>
      </c>
      <c r="H178">
        <f>HYPERLINK("https://athena.uww.org/media/cache/person_default/uploads/images/684927deef5b6188635323.jpg")</f>
        <v>0</v>
      </c>
      <c r="I178">
        <f>HYPERLINK("https://athena.uww.org/p/108941")</f>
        <v>0</v>
      </c>
    </row>
    <row r="179" spans="1:9">
      <c r="A179">
        <v>14752</v>
      </c>
      <c r="B179" t="s">
        <v>186</v>
      </c>
      <c r="C179" t="s">
        <v>1339</v>
      </c>
      <c r="D179" t="s">
        <v>1359</v>
      </c>
      <c r="E179" t="s">
        <v>1442</v>
      </c>
      <c r="F179" t="s">
        <v>1620</v>
      </c>
      <c r="G179" t="b">
        <v>1</v>
      </c>
      <c r="H179">
        <f>HYPERLINK("https://athena.uww.org/media/cache/person_default/uploads/images/1028071290001.jpg")</f>
        <v>0</v>
      </c>
      <c r="I179">
        <f>HYPERLINK("https://athena.uww.org/p/14752")</f>
        <v>0</v>
      </c>
    </row>
    <row r="180" spans="1:9">
      <c r="A180">
        <v>13103</v>
      </c>
      <c r="B180" t="s">
        <v>187</v>
      </c>
      <c r="C180" t="s">
        <v>1339</v>
      </c>
      <c r="D180" t="s">
        <v>1359</v>
      </c>
      <c r="E180" t="s">
        <v>1442</v>
      </c>
      <c r="F180" t="s">
        <v>1621</v>
      </c>
      <c r="G180" t="b">
        <v>1</v>
      </c>
      <c r="H180">
        <f>HYPERLINK("https://athena.uww.org/media/cache/person_default/uploads/images/66545a709aa4c878753384.png")</f>
        <v>0</v>
      </c>
      <c r="I180">
        <f>HYPERLINK("https://athena.uww.org/p/13103")</f>
        <v>0</v>
      </c>
    </row>
    <row r="181" spans="1:9">
      <c r="A181">
        <v>5686</v>
      </c>
      <c r="B181" t="s">
        <v>188</v>
      </c>
      <c r="C181" t="s">
        <v>1340</v>
      </c>
      <c r="D181" t="s">
        <v>1359</v>
      </c>
      <c r="E181" t="s">
        <v>1442</v>
      </c>
      <c r="F181" t="s">
        <v>1622</v>
      </c>
      <c r="G181" t="b">
        <v>1</v>
      </c>
      <c r="H181">
        <f>HYPERLINK("https://athena.uww.org/media/cache/person_default/uploads/images/crop/686240aeee7c8868800162.png")</f>
        <v>0</v>
      </c>
      <c r="I181">
        <f>HYPERLINK("https://athena.uww.org/p/5686")</f>
        <v>0</v>
      </c>
    </row>
    <row r="182" spans="1:9">
      <c r="A182">
        <v>101409</v>
      </c>
      <c r="B182" t="s">
        <v>189</v>
      </c>
      <c r="C182" t="s">
        <v>1339</v>
      </c>
      <c r="D182" t="s">
        <v>1359</v>
      </c>
      <c r="E182" t="s">
        <v>1442</v>
      </c>
      <c r="F182" t="s">
        <v>1623</v>
      </c>
      <c r="G182" t="b">
        <v>1</v>
      </c>
      <c r="H182">
        <f>HYPERLINK("https://athena.uww.org/media/cache/person_default/uploads/images/66615596e05d9755844279.jpg")</f>
        <v>0</v>
      </c>
      <c r="I182">
        <f>HYPERLINK("https://athena.uww.org/p/101409")</f>
        <v>0</v>
      </c>
    </row>
    <row r="183" spans="1:9">
      <c r="A183">
        <v>108930</v>
      </c>
      <c r="B183" t="s">
        <v>190</v>
      </c>
      <c r="C183" t="s">
        <v>1340</v>
      </c>
      <c r="D183" t="s">
        <v>1359</v>
      </c>
      <c r="E183" t="s">
        <v>1442</v>
      </c>
      <c r="F183" t="s">
        <v>1624</v>
      </c>
      <c r="G183" t="b">
        <v>1</v>
      </c>
      <c r="H183">
        <f>HYPERLINK("https://athena.uww.org/media/cache/person_default/uploads/images/6848fad18c589205505103.jpg")</f>
        <v>0</v>
      </c>
      <c r="I183">
        <f>HYPERLINK("https://athena.uww.org/p/108930")</f>
        <v>0</v>
      </c>
    </row>
    <row r="184" spans="1:9">
      <c r="A184">
        <v>3391</v>
      </c>
      <c r="B184" t="s">
        <v>191</v>
      </c>
      <c r="C184" t="s">
        <v>1339</v>
      </c>
      <c r="D184" t="s">
        <v>1360</v>
      </c>
      <c r="E184" t="s">
        <v>1440</v>
      </c>
      <c r="F184" t="s">
        <v>1625</v>
      </c>
      <c r="G184" t="b">
        <v>1</v>
      </c>
      <c r="H184">
        <f>HYPERLINK("https://athena.uww.org/media/cache/person_default/uploads/images/56b87baadc233.jpg")</f>
        <v>0</v>
      </c>
      <c r="I184">
        <f>HYPERLINK("https://athena.uww.org/p/3391")</f>
        <v>0</v>
      </c>
    </row>
    <row r="185" spans="1:9">
      <c r="A185">
        <v>3392</v>
      </c>
      <c r="B185" t="s">
        <v>192</v>
      </c>
      <c r="C185" t="s">
        <v>1339</v>
      </c>
      <c r="D185" t="s">
        <v>1360</v>
      </c>
      <c r="E185" t="s">
        <v>1441</v>
      </c>
      <c r="F185" t="s">
        <v>1625</v>
      </c>
      <c r="G185" t="b">
        <v>1</v>
      </c>
      <c r="H185">
        <f>HYPERLINK("https://athena.uww.org/media/cache/person_default/uploads/images/crop/5b7405970f2cf.png")</f>
        <v>0</v>
      </c>
      <c r="I185">
        <f>HYPERLINK("https://athena.uww.org/p/3392")</f>
        <v>0</v>
      </c>
    </row>
    <row r="186" spans="1:9">
      <c r="A186">
        <v>29049</v>
      </c>
      <c r="B186" t="s">
        <v>193</v>
      </c>
      <c r="C186" t="s">
        <v>1340</v>
      </c>
      <c r="D186" t="s">
        <v>1360</v>
      </c>
      <c r="E186" t="s">
        <v>1441</v>
      </c>
      <c r="F186" t="s">
        <v>1626</v>
      </c>
      <c r="G186" t="b">
        <v>1</v>
      </c>
      <c r="H186">
        <f>HYPERLINK("https://athena.uww.org/media/cache/person_default/uploads/images/crop/611b67f7dea8e201697066.png")</f>
        <v>0</v>
      </c>
      <c r="I186">
        <f>HYPERLINK("https://athena.uww.org/p/29049")</f>
        <v>0</v>
      </c>
    </row>
    <row r="187" spans="1:9">
      <c r="A187">
        <v>30607</v>
      </c>
      <c r="B187" t="s">
        <v>194</v>
      </c>
      <c r="C187" t="s">
        <v>1340</v>
      </c>
      <c r="D187" t="s">
        <v>1360</v>
      </c>
      <c r="E187" t="s">
        <v>1442</v>
      </c>
      <c r="F187" t="s">
        <v>1627</v>
      </c>
      <c r="G187" t="b">
        <v>0</v>
      </c>
      <c r="H187">
        <f>HYPERLINK("https://athena.uww.org/media/cache/person_default/uploads/images/crop/609e2bb9eb902880747526.png")</f>
        <v>0</v>
      </c>
      <c r="I187">
        <f>HYPERLINK("https://athena.uww.org/p/30607")</f>
        <v>0</v>
      </c>
    </row>
    <row r="188" spans="1:9">
      <c r="A188">
        <v>87192</v>
      </c>
      <c r="B188" t="s">
        <v>195</v>
      </c>
      <c r="C188" t="s">
        <v>1340</v>
      </c>
      <c r="D188" t="s">
        <v>1360</v>
      </c>
      <c r="E188" t="s">
        <v>1442</v>
      </c>
      <c r="F188" t="s">
        <v>1628</v>
      </c>
      <c r="G188" t="b">
        <v>0</v>
      </c>
      <c r="H188">
        <f>HYPERLINK("https://athena.uww.org/media/cache/person_default/uploads/images/crop/6346c2b0674cf976051380.png")</f>
        <v>0</v>
      </c>
      <c r="I188">
        <f>HYPERLINK("https://athena.uww.org/p/87192")</f>
        <v>0</v>
      </c>
    </row>
    <row r="189" spans="1:9">
      <c r="A189">
        <v>42229</v>
      </c>
      <c r="B189" t="s">
        <v>196</v>
      </c>
      <c r="C189" t="s">
        <v>1339</v>
      </c>
      <c r="D189" t="s">
        <v>1360</v>
      </c>
      <c r="E189" t="s">
        <v>1442</v>
      </c>
      <c r="F189" t="s">
        <v>1629</v>
      </c>
      <c r="G189" t="b">
        <v>0</v>
      </c>
      <c r="H189">
        <f>HYPERLINK("https://athena.uww.org/media/cache/person_default/uploads/images/crop/5858f8b5c54ec.png")</f>
        <v>0</v>
      </c>
      <c r="I189">
        <f>HYPERLINK("https://athena.uww.org/p/42229")</f>
        <v>0</v>
      </c>
    </row>
    <row r="190" spans="1:9">
      <c r="A190">
        <v>87191</v>
      </c>
      <c r="B190" t="s">
        <v>197</v>
      </c>
      <c r="C190" t="s">
        <v>1339</v>
      </c>
      <c r="D190" t="s">
        <v>1360</v>
      </c>
      <c r="E190" t="s">
        <v>1442</v>
      </c>
      <c r="F190" t="s">
        <v>1630</v>
      </c>
      <c r="G190" t="b">
        <v>0</v>
      </c>
      <c r="H190">
        <f>HYPERLINK("https://athena.uww.org/media/cache/person_default/uploads/images/crop/6346c34211143947496138.png")</f>
        <v>0</v>
      </c>
      <c r="I190">
        <f>HYPERLINK("https://athena.uww.org/p/87191")</f>
        <v>0</v>
      </c>
    </row>
    <row r="191" spans="1:9">
      <c r="A191">
        <v>5089</v>
      </c>
      <c r="B191" t="s">
        <v>198</v>
      </c>
      <c r="C191" t="s">
        <v>1339</v>
      </c>
      <c r="D191" t="s">
        <v>1360</v>
      </c>
      <c r="E191" t="s">
        <v>1442</v>
      </c>
      <c r="F191" t="s">
        <v>1631</v>
      </c>
      <c r="G191" t="b">
        <v>0</v>
      </c>
      <c r="H191">
        <f>HYPERLINK("https://athena.uww.org/media/cache/person_default/uploads/images/referee-5089.jpg")</f>
        <v>0</v>
      </c>
      <c r="I191">
        <f>HYPERLINK("https://athena.uww.org/p/5089")</f>
        <v>0</v>
      </c>
    </row>
    <row r="192" spans="1:9">
      <c r="A192">
        <v>100894</v>
      </c>
      <c r="B192" t="s">
        <v>199</v>
      </c>
      <c r="C192" t="s">
        <v>1339</v>
      </c>
      <c r="D192" t="s">
        <v>1360</v>
      </c>
      <c r="E192" t="s">
        <v>1442</v>
      </c>
      <c r="F192" t="s">
        <v>1632</v>
      </c>
      <c r="G192" t="b">
        <v>0</v>
      </c>
      <c r="H192">
        <f>HYPERLINK("https://athena.uww.org/media/cache/person_default/uploads/images/crop/6656b9dbbab52696239966.png")</f>
        <v>0</v>
      </c>
      <c r="I192">
        <f>HYPERLINK("https://athena.uww.org/p/100894")</f>
        <v>0</v>
      </c>
    </row>
    <row r="193" spans="1:9">
      <c r="A193">
        <v>2829</v>
      </c>
      <c r="B193" t="s">
        <v>200</v>
      </c>
      <c r="C193" t="s">
        <v>1339</v>
      </c>
      <c r="D193" t="s">
        <v>1361</v>
      </c>
      <c r="E193" t="s">
        <v>1440</v>
      </c>
      <c r="F193" t="s">
        <v>1633</v>
      </c>
      <c r="G193" t="b">
        <v>1</v>
      </c>
      <c r="H193">
        <f>HYPERLINK("https://athena.uww.org/media/cache/person_default/uploads/images/crop/63cb9a3632cac553026982.png")</f>
        <v>0</v>
      </c>
      <c r="I193">
        <f>HYPERLINK("https://athena.uww.org/p/2829")</f>
        <v>0</v>
      </c>
    </row>
    <row r="194" spans="1:9">
      <c r="A194">
        <v>4636</v>
      </c>
      <c r="B194" t="s">
        <v>201</v>
      </c>
      <c r="C194" t="s">
        <v>1339</v>
      </c>
      <c r="D194" t="s">
        <v>1361</v>
      </c>
      <c r="E194" t="s">
        <v>1440</v>
      </c>
      <c r="F194" t="s">
        <v>1634</v>
      </c>
      <c r="G194" t="b">
        <v>1</v>
      </c>
      <c r="H194">
        <f>HYPERLINK("https://athena.uww.org/media/cache/person_default/uploads/images/crop/63cb99ef9a55f551299325.png")</f>
        <v>0</v>
      </c>
      <c r="I194">
        <f>HYPERLINK("https://athena.uww.org/p/4636")</f>
        <v>0</v>
      </c>
    </row>
    <row r="195" spans="1:9">
      <c r="A195">
        <v>16390</v>
      </c>
      <c r="B195" t="s">
        <v>202</v>
      </c>
      <c r="C195" t="s">
        <v>1339</v>
      </c>
      <c r="D195" t="s">
        <v>1361</v>
      </c>
      <c r="E195" t="s">
        <v>1441</v>
      </c>
      <c r="F195" t="s">
        <v>1635</v>
      </c>
      <c r="G195" t="b">
        <v>1</v>
      </c>
      <c r="H195">
        <f>HYPERLINK("https://athena.uww.org/media/cache/person_default/uploads/images/crop/6228cf15c3dbd475672745.png")</f>
        <v>0</v>
      </c>
      <c r="I195">
        <f>HYPERLINK("https://athena.uww.org/p/16390")</f>
        <v>0</v>
      </c>
    </row>
    <row r="196" spans="1:9">
      <c r="A196">
        <v>748</v>
      </c>
      <c r="B196" t="s">
        <v>203</v>
      </c>
      <c r="C196" t="s">
        <v>1339</v>
      </c>
      <c r="D196" t="s">
        <v>1361</v>
      </c>
      <c r="E196" t="s">
        <v>1441</v>
      </c>
      <c r="F196" t="s">
        <v>1636</v>
      </c>
      <c r="G196" t="b">
        <v>1</v>
      </c>
      <c r="H196">
        <f>HYPERLINK("https://athena.uww.org/media/cache/person_default/uploads/images/crop/608fcfaab435e788796355.png")</f>
        <v>0</v>
      </c>
      <c r="I196">
        <f>HYPERLINK("https://athena.uww.org/p/748")</f>
        <v>0</v>
      </c>
    </row>
    <row r="197" spans="1:9">
      <c r="A197">
        <v>85192</v>
      </c>
      <c r="B197" t="s">
        <v>204</v>
      </c>
      <c r="C197" t="s">
        <v>1339</v>
      </c>
      <c r="D197" t="s">
        <v>1361</v>
      </c>
      <c r="E197" t="s">
        <v>1441</v>
      </c>
      <c r="F197" t="s">
        <v>1637</v>
      </c>
      <c r="G197" t="b">
        <v>1</v>
      </c>
      <c r="H197">
        <f>HYPERLINK("https://athena.uww.org/media/cache/person_default/uploads/images/crop/62bdab011d3a8088873668.png")</f>
        <v>0</v>
      </c>
      <c r="I197">
        <f>HYPERLINK("https://athena.uww.org/p/85192")</f>
        <v>0</v>
      </c>
    </row>
    <row r="198" spans="1:9">
      <c r="A198">
        <v>5345</v>
      </c>
      <c r="B198" t="s">
        <v>205</v>
      </c>
      <c r="C198" t="s">
        <v>1339</v>
      </c>
      <c r="D198" t="s">
        <v>1361</v>
      </c>
      <c r="E198" t="s">
        <v>1441</v>
      </c>
      <c r="F198" t="s">
        <v>1638</v>
      </c>
      <c r="G198" t="b">
        <v>1</v>
      </c>
      <c r="H198">
        <f>HYPERLINK("https://athena.uww.org/media/cache/person_default/uploads/images/referee-5345.jpg")</f>
        <v>0</v>
      </c>
      <c r="I198">
        <f>HYPERLINK("https://athena.uww.org/p/5345")</f>
        <v>0</v>
      </c>
    </row>
    <row r="199" spans="1:9">
      <c r="A199">
        <v>4677</v>
      </c>
      <c r="B199" t="s">
        <v>206</v>
      </c>
      <c r="C199" t="s">
        <v>1339</v>
      </c>
      <c r="D199" t="s">
        <v>1361</v>
      </c>
      <c r="E199" t="s">
        <v>1441</v>
      </c>
      <c r="F199" t="s">
        <v>1639</v>
      </c>
      <c r="G199" t="b">
        <v>1</v>
      </c>
      <c r="H199">
        <f>HYPERLINK("https://athena.uww.org/media/cache/person_default/uploads/images/referee-4677.jpg")</f>
        <v>0</v>
      </c>
      <c r="I199">
        <f>HYPERLINK("https://athena.uww.org/p/4677")</f>
        <v>0</v>
      </c>
    </row>
    <row r="200" spans="1:9">
      <c r="A200">
        <v>27750</v>
      </c>
      <c r="B200" t="s">
        <v>207</v>
      </c>
      <c r="C200" t="s">
        <v>1339</v>
      </c>
      <c r="D200" t="s">
        <v>1361</v>
      </c>
      <c r="E200" t="s">
        <v>1439</v>
      </c>
      <c r="F200" t="s">
        <v>1640</v>
      </c>
      <c r="G200" t="b">
        <v>1</v>
      </c>
      <c r="H200">
        <f>HYPERLINK("https://athena.uww.org/media/cache/person_default/uploads/images/crop/62bed189ce649990632768.png")</f>
        <v>0</v>
      </c>
      <c r="I200">
        <f>HYPERLINK("https://athena.uww.org/p/27750")</f>
        <v>0</v>
      </c>
    </row>
    <row r="201" spans="1:9">
      <c r="A201">
        <v>5036</v>
      </c>
      <c r="B201" t="s">
        <v>208</v>
      </c>
      <c r="C201" t="s">
        <v>1339</v>
      </c>
      <c r="D201" t="s">
        <v>1361</v>
      </c>
      <c r="E201" t="s">
        <v>1439</v>
      </c>
      <c r="F201" t="s">
        <v>1641</v>
      </c>
      <c r="G201" t="b">
        <v>1</v>
      </c>
      <c r="H201">
        <f>HYPERLINK("https://athena.uww.org/media/cache/person_default/uploads/images/referee-5036.jpg")</f>
        <v>0</v>
      </c>
      <c r="I201">
        <f>HYPERLINK("https://athena.uww.org/p/5036")</f>
        <v>0</v>
      </c>
    </row>
    <row r="202" spans="1:9">
      <c r="A202">
        <v>4637</v>
      </c>
      <c r="B202" t="s">
        <v>209</v>
      </c>
      <c r="C202" t="s">
        <v>1339</v>
      </c>
      <c r="D202" t="s">
        <v>1361</v>
      </c>
      <c r="E202" t="s">
        <v>1439</v>
      </c>
      <c r="F202" t="s">
        <v>1642</v>
      </c>
      <c r="G202" t="b">
        <v>1</v>
      </c>
      <c r="H202">
        <f>HYPERLINK("https://athena.uww.org/media/cache/person_default/uploads/images/referee-4637.jpg")</f>
        <v>0</v>
      </c>
      <c r="I202">
        <f>HYPERLINK("https://athena.uww.org/p/4637")</f>
        <v>0</v>
      </c>
    </row>
    <row r="203" spans="1:9">
      <c r="A203">
        <v>51034</v>
      </c>
      <c r="B203" t="s">
        <v>210</v>
      </c>
      <c r="C203" t="s">
        <v>1339</v>
      </c>
      <c r="D203" t="s">
        <v>1361</v>
      </c>
      <c r="E203" t="s">
        <v>1439</v>
      </c>
      <c r="F203" t="s">
        <v>1598</v>
      </c>
      <c r="G203" t="b">
        <v>1</v>
      </c>
      <c r="H203">
        <f>HYPERLINK("https://athena.uww.org/media/cache/person_default/uploads/images/crop/59a57ab20321f.png")</f>
        <v>0</v>
      </c>
      <c r="I203">
        <f>HYPERLINK("https://athena.uww.org/p/51034")</f>
        <v>0</v>
      </c>
    </row>
    <row r="204" spans="1:9">
      <c r="A204">
        <v>85418</v>
      </c>
      <c r="B204" t="s">
        <v>211</v>
      </c>
      <c r="C204" t="s">
        <v>1339</v>
      </c>
      <c r="D204" t="s">
        <v>1361</v>
      </c>
      <c r="E204" t="s">
        <v>1439</v>
      </c>
      <c r="F204" t="s">
        <v>1643</v>
      </c>
      <c r="G204" t="b">
        <v>1</v>
      </c>
      <c r="H204">
        <f>HYPERLINK("https://athena.uww.org/media/cache/person_default/uploads/images/62d053bf5fe7c228210684.jpg")</f>
        <v>0</v>
      </c>
      <c r="I204">
        <f>HYPERLINK("https://athena.uww.org/p/85418")</f>
        <v>0</v>
      </c>
    </row>
    <row r="205" spans="1:9">
      <c r="A205">
        <v>59012</v>
      </c>
      <c r="B205" t="s">
        <v>212</v>
      </c>
      <c r="C205" t="s">
        <v>1339</v>
      </c>
      <c r="D205" t="s">
        <v>1361</v>
      </c>
      <c r="E205" t="s">
        <v>1439</v>
      </c>
      <c r="F205" t="s">
        <v>1644</v>
      </c>
      <c r="G205" t="b">
        <v>1</v>
      </c>
      <c r="H205">
        <f>HYPERLINK("https://athena.uww.org/media/cache/person_default/uploads/images/crop/62c59ec68768f157512239.png")</f>
        <v>0</v>
      </c>
      <c r="I205">
        <f>HYPERLINK("https://athena.uww.org/p/59012")</f>
        <v>0</v>
      </c>
    </row>
    <row r="206" spans="1:9">
      <c r="A206">
        <v>85226</v>
      </c>
      <c r="B206" t="s">
        <v>213</v>
      </c>
      <c r="C206" t="s">
        <v>1339</v>
      </c>
      <c r="D206" t="s">
        <v>1361</v>
      </c>
      <c r="E206" t="s">
        <v>1442</v>
      </c>
      <c r="F206" t="s">
        <v>1645</v>
      </c>
      <c r="G206" t="b">
        <v>1</v>
      </c>
      <c r="H206">
        <f>HYPERLINK("https://athena.uww.org/media/cache/person_default/uploads/images/62bf0fe1d7444807807342.jpg")</f>
        <v>0</v>
      </c>
      <c r="I206">
        <f>HYPERLINK("https://athena.uww.org/p/85226")</f>
        <v>0</v>
      </c>
    </row>
    <row r="207" spans="1:9">
      <c r="A207">
        <v>59005</v>
      </c>
      <c r="B207" t="s">
        <v>214</v>
      </c>
      <c r="C207" t="s">
        <v>1339</v>
      </c>
      <c r="D207" t="s">
        <v>1361</v>
      </c>
      <c r="E207" t="s">
        <v>1442</v>
      </c>
      <c r="F207" t="s">
        <v>1646</v>
      </c>
      <c r="G207" t="b">
        <v>1</v>
      </c>
      <c r="H207">
        <f>HYPERLINK("https://athena.uww.org/media/cache/person_default/uploads/images/crop/5b278d5d35a47.png")</f>
        <v>0</v>
      </c>
      <c r="I207">
        <f>HYPERLINK("https://athena.uww.org/p/59005")</f>
        <v>0</v>
      </c>
    </row>
    <row r="208" spans="1:9">
      <c r="A208">
        <v>5233</v>
      </c>
      <c r="B208" t="s">
        <v>215</v>
      </c>
      <c r="C208" t="s">
        <v>1339</v>
      </c>
      <c r="D208" t="s">
        <v>1361</v>
      </c>
      <c r="E208" t="s">
        <v>1442</v>
      </c>
      <c r="F208" t="s">
        <v>1647</v>
      </c>
      <c r="G208" t="b">
        <v>1</v>
      </c>
      <c r="H208">
        <f>HYPERLINK("https://athena.uww.org/media/cache/person_default/uploads/images/referee-5233.jpg")</f>
        <v>0</v>
      </c>
      <c r="I208">
        <f>HYPERLINK("https://athena.uww.org/p/5233")</f>
        <v>0</v>
      </c>
    </row>
    <row r="209" spans="1:9">
      <c r="A209">
        <v>5293</v>
      </c>
      <c r="B209" t="s">
        <v>216</v>
      </c>
      <c r="C209" t="s">
        <v>1339</v>
      </c>
      <c r="D209" t="s">
        <v>1362</v>
      </c>
      <c r="E209" t="s">
        <v>1440</v>
      </c>
      <c r="F209" t="s">
        <v>1648</v>
      </c>
      <c r="G209" t="b">
        <v>1</v>
      </c>
      <c r="H209">
        <f>HYPERLINK("https://athena.uww.org/media/cache/person_default/uploads/images/referee-5293.jpg")</f>
        <v>0</v>
      </c>
      <c r="I209">
        <f>HYPERLINK("https://athena.uww.org/p/5293")</f>
        <v>0</v>
      </c>
    </row>
    <row r="210" spans="1:9">
      <c r="A210">
        <v>5087</v>
      </c>
      <c r="B210" t="s">
        <v>217</v>
      </c>
      <c r="C210" t="s">
        <v>1339</v>
      </c>
      <c r="D210" t="s">
        <v>1362</v>
      </c>
      <c r="E210" t="s">
        <v>1440</v>
      </c>
      <c r="F210" t="s">
        <v>1649</v>
      </c>
      <c r="G210" t="b">
        <v>1</v>
      </c>
      <c r="H210">
        <f>HYPERLINK("https://athena.uww.org/media/cache/person_default/uploads/images/crop/63b584572ff76289958920.png")</f>
        <v>0</v>
      </c>
      <c r="I210">
        <f>HYPERLINK("https://athena.uww.org/p/5087")</f>
        <v>0</v>
      </c>
    </row>
    <row r="211" spans="1:9">
      <c r="A211">
        <v>5088</v>
      </c>
      <c r="B211" t="s">
        <v>218</v>
      </c>
      <c r="C211" t="s">
        <v>1339</v>
      </c>
      <c r="D211" t="s">
        <v>1362</v>
      </c>
      <c r="E211" t="s">
        <v>1442</v>
      </c>
      <c r="F211" t="s">
        <v>1650</v>
      </c>
      <c r="G211" t="b">
        <v>1</v>
      </c>
      <c r="H211">
        <f>HYPERLINK("https://athena.uww.org/media/cache/person_default/uploads/images/referee-5088.jpg")</f>
        <v>0</v>
      </c>
      <c r="I211">
        <f>HYPERLINK("https://athena.uww.org/p/5088")</f>
        <v>0</v>
      </c>
    </row>
    <row r="212" spans="1:9">
      <c r="A212">
        <v>4828</v>
      </c>
      <c r="B212" t="s">
        <v>219</v>
      </c>
      <c r="C212" t="s">
        <v>1339</v>
      </c>
      <c r="D212" t="s">
        <v>1363</v>
      </c>
      <c r="E212" t="s">
        <v>1440</v>
      </c>
      <c r="F212" t="s">
        <v>1651</v>
      </c>
      <c r="G212" t="b">
        <v>1</v>
      </c>
      <c r="H212">
        <f>HYPERLINK("https://athena.uww.org/media/cache/person_default/uploads/images/crop/65d9cb5266029119056738.png")</f>
        <v>0</v>
      </c>
      <c r="I212">
        <f>HYPERLINK("https://athena.uww.org/p/4828")</f>
        <v>0</v>
      </c>
    </row>
    <row r="213" spans="1:9">
      <c r="A213">
        <v>5344</v>
      </c>
      <c r="B213" t="s">
        <v>220</v>
      </c>
      <c r="C213" t="s">
        <v>1339</v>
      </c>
      <c r="D213" t="s">
        <v>1363</v>
      </c>
      <c r="E213" t="s">
        <v>1440</v>
      </c>
      <c r="F213" t="s">
        <v>1652</v>
      </c>
      <c r="G213" t="b">
        <v>1</v>
      </c>
      <c r="H213">
        <f>HYPERLINK("https://athena.uww.org/media/cache/person_default/uploads/images/crop/65d9cbfe4a052994010305.png")</f>
        <v>0</v>
      </c>
      <c r="I213">
        <f>HYPERLINK("https://athena.uww.org/p/5344")</f>
        <v>0</v>
      </c>
    </row>
    <row r="214" spans="1:9">
      <c r="A214">
        <v>4456</v>
      </c>
      <c r="B214" t="s">
        <v>221</v>
      </c>
      <c r="C214" t="s">
        <v>1339</v>
      </c>
      <c r="D214" t="s">
        <v>1363</v>
      </c>
      <c r="E214" t="s">
        <v>1441</v>
      </c>
      <c r="F214" t="s">
        <v>1653</v>
      </c>
      <c r="G214" t="b">
        <v>1</v>
      </c>
      <c r="H214">
        <f>HYPERLINK("https://athena.uww.org/media/cache/person_default/uploads/images/crop/63cba08119583564335519.png")</f>
        <v>0</v>
      </c>
      <c r="I214">
        <f>HYPERLINK("https://athena.uww.org/p/4456")</f>
        <v>0</v>
      </c>
    </row>
    <row r="215" spans="1:9">
      <c r="A215">
        <v>77950</v>
      </c>
      <c r="B215" t="s">
        <v>222</v>
      </c>
      <c r="C215" t="s">
        <v>1339</v>
      </c>
      <c r="D215" t="s">
        <v>1363</v>
      </c>
      <c r="E215" t="s">
        <v>1441</v>
      </c>
      <c r="F215" t="s">
        <v>1654</v>
      </c>
      <c r="G215" t="b">
        <v>1</v>
      </c>
      <c r="H215">
        <f>HYPERLINK("https://athena.uww.org/media/cache/person_default/uploads/images/crop/6130b398bfb96691558816.png")</f>
        <v>0</v>
      </c>
      <c r="I215">
        <f>HYPERLINK("https://athena.uww.org/p/77950")</f>
        <v>0</v>
      </c>
    </row>
    <row r="216" spans="1:9">
      <c r="A216">
        <v>58822</v>
      </c>
      <c r="B216" t="s">
        <v>223</v>
      </c>
      <c r="C216" t="s">
        <v>1339</v>
      </c>
      <c r="D216" t="s">
        <v>1363</v>
      </c>
      <c r="E216" t="s">
        <v>1439</v>
      </c>
      <c r="F216" t="s">
        <v>1655</v>
      </c>
      <c r="G216" t="b">
        <v>1</v>
      </c>
      <c r="H216">
        <f>HYPERLINK("https://athena.uww.org/media/cache/person_default/uploads/images/crop/5b17cdfb1563f.png")</f>
        <v>0</v>
      </c>
      <c r="I216">
        <f>HYPERLINK("https://athena.uww.org/p/58822")</f>
        <v>0</v>
      </c>
    </row>
    <row r="217" spans="1:9">
      <c r="A217">
        <v>4688</v>
      </c>
      <c r="B217" t="s">
        <v>224</v>
      </c>
      <c r="C217" t="s">
        <v>1339</v>
      </c>
      <c r="D217" t="s">
        <v>1363</v>
      </c>
      <c r="E217" t="s">
        <v>1442</v>
      </c>
      <c r="F217" t="s">
        <v>1656</v>
      </c>
      <c r="G217" t="b">
        <v>0</v>
      </c>
      <c r="H217">
        <f>HYPERLINK("https://athena.uww.org/media/cache/person_default/uploads/images/referee-4688.jpg")</f>
        <v>0</v>
      </c>
      <c r="I217">
        <f>HYPERLINK("https://athena.uww.org/p/4688")</f>
        <v>0</v>
      </c>
    </row>
    <row r="218" spans="1:9">
      <c r="A218">
        <v>64825</v>
      </c>
      <c r="B218" t="s">
        <v>225</v>
      </c>
      <c r="C218" t="s">
        <v>1339</v>
      </c>
      <c r="D218" t="s">
        <v>1363</v>
      </c>
      <c r="E218" t="s">
        <v>1442</v>
      </c>
      <c r="F218" t="s">
        <v>1657</v>
      </c>
      <c r="G218" t="b">
        <v>1</v>
      </c>
      <c r="H218">
        <f>HYPERLINK("https://athena.uww.org/media/cache/person_default/uploads/images/crop/5ca4b5a786251786050687.png")</f>
        <v>0</v>
      </c>
      <c r="I218">
        <f>HYPERLINK("https://athena.uww.org/p/64825")</f>
        <v>0</v>
      </c>
    </row>
    <row r="219" spans="1:9">
      <c r="A219">
        <v>93423</v>
      </c>
      <c r="B219" t="s">
        <v>226</v>
      </c>
      <c r="C219" t="s">
        <v>1339</v>
      </c>
      <c r="D219" t="s">
        <v>1363</v>
      </c>
      <c r="E219" t="s">
        <v>1442</v>
      </c>
      <c r="F219" t="s">
        <v>1658</v>
      </c>
      <c r="G219" t="b">
        <v>1</v>
      </c>
      <c r="H219">
        <f>HYPERLINK("https://athena.uww.org/media/cache/person_default/uploads/images/crop/64a79cafb0501045953897.png")</f>
        <v>0</v>
      </c>
      <c r="I219">
        <f>HYPERLINK("https://athena.uww.org/p/93423")</f>
        <v>0</v>
      </c>
    </row>
    <row r="220" spans="1:9">
      <c r="A220">
        <v>4575</v>
      </c>
      <c r="B220" t="s">
        <v>227</v>
      </c>
      <c r="C220" t="s">
        <v>1339</v>
      </c>
      <c r="D220" t="s">
        <v>1364</v>
      </c>
      <c r="E220" t="s">
        <v>1440</v>
      </c>
      <c r="F220" t="s">
        <v>1659</v>
      </c>
      <c r="G220" t="b">
        <v>1</v>
      </c>
      <c r="H220">
        <f>HYPERLINK("https://athena.uww.org/media/cache/person_default/uploads/images/crop/63cb9f3a91a90348794162.png")</f>
        <v>0</v>
      </c>
      <c r="I220">
        <f>HYPERLINK("https://athena.uww.org/p/4575")</f>
        <v>0</v>
      </c>
    </row>
    <row r="221" spans="1:9">
      <c r="A221">
        <v>57</v>
      </c>
      <c r="B221" t="s">
        <v>228</v>
      </c>
      <c r="C221" t="s">
        <v>1339</v>
      </c>
      <c r="D221" t="s">
        <v>1364</v>
      </c>
      <c r="E221" t="s">
        <v>1441</v>
      </c>
      <c r="F221" t="s">
        <v>1660</v>
      </c>
      <c r="G221" t="b">
        <v>1</v>
      </c>
      <c r="H221">
        <f>HYPERLINK("https://athena.uww.org/media/cache/person_default/uploads/images/56a7231ab6801.jpg")</f>
        <v>0</v>
      </c>
      <c r="I221">
        <f>HYPERLINK("https://athena.uww.org/p/57")</f>
        <v>0</v>
      </c>
    </row>
    <row r="222" spans="1:9">
      <c r="A222">
        <v>97618</v>
      </c>
      <c r="B222" t="s">
        <v>229</v>
      </c>
      <c r="C222" t="s">
        <v>1339</v>
      </c>
      <c r="D222" t="s">
        <v>1364</v>
      </c>
      <c r="E222" t="s">
        <v>1439</v>
      </c>
      <c r="F222" t="s">
        <v>1661</v>
      </c>
      <c r="G222" t="b">
        <v>1</v>
      </c>
      <c r="H222">
        <f>HYPERLINK("https://athena.uww.org/media/cache/person_default/uploads/images/65ddced2b553b511068664.jpg")</f>
        <v>0</v>
      </c>
      <c r="I222">
        <f>HYPERLINK("https://athena.uww.org/p/97618")</f>
        <v>0</v>
      </c>
    </row>
    <row r="223" spans="1:9">
      <c r="A223">
        <v>66623</v>
      </c>
      <c r="B223" t="s">
        <v>230</v>
      </c>
      <c r="C223" t="s">
        <v>1339</v>
      </c>
      <c r="D223" t="s">
        <v>1365</v>
      </c>
      <c r="E223" t="s">
        <v>1442</v>
      </c>
      <c r="F223" t="s">
        <v>1662</v>
      </c>
      <c r="G223" t="b">
        <v>1</v>
      </c>
      <c r="H223">
        <f>HYPERLINK("https://athena.uww.org/media/cache/person_default/uploads/images/crop/647397caef5c8720580185.png")</f>
        <v>0</v>
      </c>
      <c r="I223">
        <f>HYPERLINK("https://athena.uww.org/p/66623")</f>
        <v>0</v>
      </c>
    </row>
    <row r="224" spans="1:9">
      <c r="A224">
        <v>23742</v>
      </c>
      <c r="B224" t="s">
        <v>231</v>
      </c>
      <c r="C224" t="s">
        <v>1340</v>
      </c>
      <c r="D224" t="s">
        <v>1365</v>
      </c>
      <c r="E224" t="s">
        <v>1442</v>
      </c>
      <c r="F224" t="s">
        <v>1663</v>
      </c>
      <c r="G224" t="b">
        <v>1</v>
      </c>
      <c r="H224">
        <f>HYPERLINK("https://athena.uww.org/media/cache/person_default/uploads/images/crop/6662af77bef90707574689.png")</f>
        <v>0</v>
      </c>
      <c r="I224">
        <f>HYPERLINK("https://athena.uww.org/p/23742")</f>
        <v>0</v>
      </c>
    </row>
    <row r="225" spans="1:9">
      <c r="A225">
        <v>90890</v>
      </c>
      <c r="B225" t="s">
        <v>232</v>
      </c>
      <c r="C225" t="s">
        <v>1339</v>
      </c>
      <c r="D225" t="s">
        <v>1365</v>
      </c>
      <c r="E225" t="s">
        <v>1442</v>
      </c>
      <c r="F225" t="s">
        <v>1664</v>
      </c>
      <c r="G225" t="b">
        <v>1</v>
      </c>
      <c r="H225">
        <f>HYPERLINK("https://athena.uww.org/media/cache/person_default/uploads/images/crop/647b5d9f7702f869591389.png")</f>
        <v>0</v>
      </c>
      <c r="I225">
        <f>HYPERLINK("https://athena.uww.org/p/90890")</f>
        <v>0</v>
      </c>
    </row>
    <row r="226" spans="1:9">
      <c r="A226">
        <v>100546</v>
      </c>
      <c r="B226" t="s">
        <v>233</v>
      </c>
      <c r="C226" t="s">
        <v>1339</v>
      </c>
      <c r="D226" t="s">
        <v>1365</v>
      </c>
      <c r="E226" t="s">
        <v>1442</v>
      </c>
      <c r="F226" t="s">
        <v>1665</v>
      </c>
      <c r="G226" t="b">
        <v>0</v>
      </c>
      <c r="H226">
        <f>HYPERLINK("https://athena.uww.org/media/cache/person_default/uploads/images/crop/6646e72690419549610253.png")</f>
        <v>0</v>
      </c>
      <c r="I226">
        <f>HYPERLINK("https://athena.uww.org/p/100546")</f>
        <v>0</v>
      </c>
    </row>
    <row r="227" spans="1:9">
      <c r="A227">
        <v>5118</v>
      </c>
      <c r="B227" t="s">
        <v>234</v>
      </c>
      <c r="C227" t="s">
        <v>1339</v>
      </c>
      <c r="D227" t="s">
        <v>1366</v>
      </c>
      <c r="E227" t="s">
        <v>1440</v>
      </c>
      <c r="F227" t="s">
        <v>1666</v>
      </c>
      <c r="G227" t="b">
        <v>1</v>
      </c>
      <c r="H227">
        <f>HYPERLINK("https://athena.uww.org/media/cache/person_default/uploads/images/crop/5d8cb774ba059493344892.png")</f>
        <v>0</v>
      </c>
      <c r="I227">
        <f>HYPERLINK("https://athena.uww.org/p/5118")</f>
        <v>0</v>
      </c>
    </row>
    <row r="228" spans="1:9">
      <c r="A228">
        <v>66225</v>
      </c>
      <c r="B228" t="s">
        <v>235</v>
      </c>
      <c r="C228" t="s">
        <v>1339</v>
      </c>
      <c r="D228" t="s">
        <v>1366</v>
      </c>
      <c r="E228" t="s">
        <v>1441</v>
      </c>
      <c r="F228" t="s">
        <v>1667</v>
      </c>
      <c r="G228" t="b">
        <v>1</v>
      </c>
      <c r="H228">
        <f>HYPERLINK("https://athena.uww.org/media/cache/person_default/uploads/images/crop/5ccfe5207c5d4862917442.png")</f>
        <v>0</v>
      </c>
      <c r="I228">
        <f>HYPERLINK("https://athena.uww.org/p/66225")</f>
        <v>0</v>
      </c>
    </row>
    <row r="229" spans="1:9">
      <c r="A229">
        <v>41989</v>
      </c>
      <c r="B229" t="s">
        <v>236</v>
      </c>
      <c r="C229" t="s">
        <v>1339</v>
      </c>
      <c r="D229" t="s">
        <v>1366</v>
      </c>
      <c r="E229" t="s">
        <v>1439</v>
      </c>
      <c r="F229" t="s">
        <v>1668</v>
      </c>
      <c r="G229" t="b">
        <v>1</v>
      </c>
      <c r="H229">
        <f>HYPERLINK("https://athena.uww.org/media/cache/person_default/uploads/images/crop/5825efc76c640.png")</f>
        <v>0</v>
      </c>
      <c r="I229">
        <f>HYPERLINK("https://athena.uww.org/p/41989")</f>
        <v>0</v>
      </c>
    </row>
    <row r="230" spans="1:9">
      <c r="A230">
        <v>5093</v>
      </c>
      <c r="B230" t="s">
        <v>237</v>
      </c>
      <c r="C230" t="s">
        <v>1339</v>
      </c>
      <c r="D230" t="s">
        <v>1366</v>
      </c>
      <c r="E230" t="s">
        <v>1439</v>
      </c>
      <c r="F230" t="s">
        <v>1669</v>
      </c>
      <c r="G230" t="b">
        <v>1</v>
      </c>
      <c r="H230">
        <f>HYPERLINK("https://athena.uww.org/media/cache/person_default/uploads/images/crop/57444117b9a17.png")</f>
        <v>0</v>
      </c>
      <c r="I230">
        <f>HYPERLINK("https://athena.uww.org/p/5093")</f>
        <v>0</v>
      </c>
    </row>
    <row r="231" spans="1:9">
      <c r="A231">
        <v>5054</v>
      </c>
      <c r="B231" t="s">
        <v>238</v>
      </c>
      <c r="C231" t="s">
        <v>1339</v>
      </c>
      <c r="D231" t="s">
        <v>1366</v>
      </c>
      <c r="E231" t="s">
        <v>1439</v>
      </c>
      <c r="F231" t="s">
        <v>1670</v>
      </c>
      <c r="G231" t="b">
        <v>1</v>
      </c>
      <c r="H231">
        <f>HYPERLINK("https://athena.uww.org/media/cache/person_default/uploads/images/crop/59dcad5a17624.png")</f>
        <v>0</v>
      </c>
      <c r="I231">
        <f>HYPERLINK("https://athena.uww.org/p/5054")</f>
        <v>0</v>
      </c>
    </row>
    <row r="232" spans="1:9">
      <c r="A232">
        <v>5055</v>
      </c>
      <c r="B232" t="s">
        <v>239</v>
      </c>
      <c r="C232" t="s">
        <v>1339</v>
      </c>
      <c r="D232" t="s">
        <v>1366</v>
      </c>
      <c r="E232" t="s">
        <v>1442</v>
      </c>
      <c r="F232" t="s">
        <v>1671</v>
      </c>
      <c r="G232" t="b">
        <v>0</v>
      </c>
      <c r="H232">
        <f>HYPERLINK("https://athena.uww.org/media/cache/person_default/uploads/images/referee-5055.jpg")</f>
        <v>0</v>
      </c>
      <c r="I232">
        <f>HYPERLINK("https://athena.uww.org/p/5055")</f>
        <v>0</v>
      </c>
    </row>
    <row r="233" spans="1:9">
      <c r="A233">
        <v>41987</v>
      </c>
      <c r="B233" t="s">
        <v>240</v>
      </c>
      <c r="C233" t="s">
        <v>1339</v>
      </c>
      <c r="D233" t="s">
        <v>1366</v>
      </c>
      <c r="E233" t="s">
        <v>1442</v>
      </c>
      <c r="F233" t="s">
        <v>1672</v>
      </c>
      <c r="G233" t="b">
        <v>0</v>
      </c>
      <c r="H233">
        <f>HYPERLINK("https://athena.uww.org/media/cache/person_default/uploads/images/crop/5825ed05d1637.png")</f>
        <v>0</v>
      </c>
      <c r="I233">
        <f>HYPERLINK("https://athena.uww.org/p/41987")</f>
        <v>0</v>
      </c>
    </row>
    <row r="234" spans="1:9">
      <c r="A234">
        <v>95945</v>
      </c>
      <c r="B234" t="s">
        <v>241</v>
      </c>
      <c r="C234" t="s">
        <v>1340</v>
      </c>
      <c r="D234" t="s">
        <v>1366</v>
      </c>
      <c r="E234" t="s">
        <v>1442</v>
      </c>
      <c r="F234" t="s">
        <v>1673</v>
      </c>
      <c r="G234" t="b">
        <v>0</v>
      </c>
      <c r="H234">
        <f>HYPERLINK("https://athena.uww.org/media/cache/person_default/uploads/images/crop/653f59fc9e124601291998.png")</f>
        <v>0</v>
      </c>
      <c r="I234">
        <f>HYPERLINK("https://athena.uww.org/p/95945")</f>
        <v>0</v>
      </c>
    </row>
    <row r="235" spans="1:9">
      <c r="A235">
        <v>4754</v>
      </c>
      <c r="B235" t="s">
        <v>242</v>
      </c>
      <c r="C235" t="s">
        <v>1339</v>
      </c>
      <c r="D235" t="s">
        <v>1367</v>
      </c>
      <c r="E235" t="s">
        <v>1440</v>
      </c>
      <c r="F235" t="s">
        <v>1674</v>
      </c>
      <c r="G235" t="b">
        <v>1</v>
      </c>
      <c r="H235">
        <f>HYPERLINK("https://athena.uww.org/media/cache/person_default/uploads/images/crop/68d23e35d9ccc043843423.png")</f>
        <v>0</v>
      </c>
      <c r="I235">
        <f>HYPERLINK("https://athena.uww.org/p/4754")</f>
        <v>0</v>
      </c>
    </row>
    <row r="236" spans="1:9">
      <c r="A236">
        <v>5375</v>
      </c>
      <c r="B236" t="s">
        <v>243</v>
      </c>
      <c r="C236" t="s">
        <v>1340</v>
      </c>
      <c r="D236" t="s">
        <v>1367</v>
      </c>
      <c r="E236" t="s">
        <v>1440</v>
      </c>
      <c r="F236" t="s">
        <v>1675</v>
      </c>
      <c r="G236" t="b">
        <v>1</v>
      </c>
      <c r="H236">
        <f>HYPERLINK("https://athena.uww.org/media/cache/person_default/uploads/images/crop/63cb9b8befe87161554571.png")</f>
        <v>0</v>
      </c>
      <c r="I236">
        <f>HYPERLINK("https://athena.uww.org/p/5375")</f>
        <v>0</v>
      </c>
    </row>
    <row r="237" spans="1:9">
      <c r="A237">
        <v>5325</v>
      </c>
      <c r="B237" t="s">
        <v>244</v>
      </c>
      <c r="C237" t="s">
        <v>1339</v>
      </c>
      <c r="D237" t="s">
        <v>1367</v>
      </c>
      <c r="E237" t="s">
        <v>1440</v>
      </c>
      <c r="F237" t="s">
        <v>1676</v>
      </c>
      <c r="G237" t="b">
        <v>1</v>
      </c>
      <c r="H237">
        <f>HYPERLINK("https://athena.uww.org/media/cache/person_default/uploads/images/crop/63da5cdbab158310357932.png")</f>
        <v>0</v>
      </c>
      <c r="I237">
        <f>HYPERLINK("https://athena.uww.org/p/5325")</f>
        <v>0</v>
      </c>
    </row>
    <row r="238" spans="1:9">
      <c r="A238">
        <v>4097</v>
      </c>
      <c r="B238" t="s">
        <v>245</v>
      </c>
      <c r="C238" t="s">
        <v>1339</v>
      </c>
      <c r="D238" t="s">
        <v>1367</v>
      </c>
      <c r="E238" t="s">
        <v>1440</v>
      </c>
      <c r="F238" t="s">
        <v>1677</v>
      </c>
      <c r="G238" t="b">
        <v>1</v>
      </c>
      <c r="H238">
        <f>HYPERLINK("https://athena.uww.org/media/cache/person_default/uploads/images/644815fdc107d965941945.jpg")</f>
        <v>0</v>
      </c>
      <c r="I238">
        <f>HYPERLINK("https://athena.uww.org/p/4097")</f>
        <v>0</v>
      </c>
    </row>
    <row r="239" spans="1:9">
      <c r="A239">
        <v>4379</v>
      </c>
      <c r="B239" t="s">
        <v>246</v>
      </c>
      <c r="C239" t="s">
        <v>1339</v>
      </c>
      <c r="D239" t="s">
        <v>1367</v>
      </c>
      <c r="E239" t="s">
        <v>1441</v>
      </c>
      <c r="F239" t="s">
        <v>1678</v>
      </c>
      <c r="G239" t="b">
        <v>1</v>
      </c>
      <c r="H239">
        <f>HYPERLINK("https://athena.uww.org/media/cache/person_default/uploads/images/crop/5ab0c2913de31.png")</f>
        <v>0</v>
      </c>
      <c r="I239">
        <f>HYPERLINK("https://athena.uww.org/p/4379")</f>
        <v>0</v>
      </c>
    </row>
    <row r="240" spans="1:9">
      <c r="A240">
        <v>81582</v>
      </c>
      <c r="B240" t="s">
        <v>247</v>
      </c>
      <c r="C240" t="s">
        <v>1339</v>
      </c>
      <c r="D240" t="s">
        <v>1367</v>
      </c>
      <c r="E240" t="s">
        <v>1441</v>
      </c>
      <c r="F240" t="s">
        <v>1679</v>
      </c>
      <c r="G240" t="b">
        <v>1</v>
      </c>
      <c r="H240">
        <f>HYPERLINK("https://athena.uww.org/media/cache/person_default/uploads/images/crop/625e67e298a15480465823.png")</f>
        <v>0</v>
      </c>
      <c r="I240">
        <f>HYPERLINK("https://athena.uww.org/p/81582")</f>
        <v>0</v>
      </c>
    </row>
    <row r="241" spans="1:9">
      <c r="A241">
        <v>5337</v>
      </c>
      <c r="B241" t="s">
        <v>248</v>
      </c>
      <c r="C241" t="s">
        <v>1339</v>
      </c>
      <c r="D241" t="s">
        <v>1367</v>
      </c>
      <c r="E241" t="s">
        <v>1441</v>
      </c>
      <c r="F241" t="s">
        <v>1680</v>
      </c>
      <c r="G241" t="b">
        <v>1</v>
      </c>
      <c r="H241">
        <f>HYPERLINK("https://athena.uww.org/media/cache/person_default/uploads/images/referee-5337.jpg")</f>
        <v>0</v>
      </c>
      <c r="I241">
        <f>HYPERLINK("https://athena.uww.org/p/5337")</f>
        <v>0</v>
      </c>
    </row>
    <row r="242" spans="1:9">
      <c r="A242">
        <v>5324</v>
      </c>
      <c r="B242" t="s">
        <v>249</v>
      </c>
      <c r="C242" t="s">
        <v>1339</v>
      </c>
      <c r="D242" t="s">
        <v>1367</v>
      </c>
      <c r="E242" t="s">
        <v>1441</v>
      </c>
      <c r="F242" t="s">
        <v>1681</v>
      </c>
      <c r="G242" t="b">
        <v>1</v>
      </c>
      <c r="H242">
        <f>HYPERLINK("https://athena.uww.org/media/cache/person_default/uploads/images/referee-5324.jpg")</f>
        <v>0</v>
      </c>
      <c r="I242">
        <f>HYPERLINK("https://athena.uww.org/p/5324")</f>
        <v>0</v>
      </c>
    </row>
    <row r="243" spans="1:9">
      <c r="A243">
        <v>5346</v>
      </c>
      <c r="B243" t="s">
        <v>250</v>
      </c>
      <c r="C243" t="s">
        <v>1339</v>
      </c>
      <c r="D243" t="s">
        <v>1367</v>
      </c>
      <c r="E243" t="s">
        <v>1441</v>
      </c>
      <c r="F243" t="s">
        <v>1682</v>
      </c>
      <c r="G243" t="b">
        <v>1</v>
      </c>
      <c r="H243">
        <f>HYPERLINK("https://athena.uww.org/media/cache/person_default/uploads/images/referee-5346.jpg")</f>
        <v>0</v>
      </c>
      <c r="I243">
        <f>HYPERLINK("https://athena.uww.org/p/5346")</f>
        <v>0</v>
      </c>
    </row>
    <row r="244" spans="1:9">
      <c r="A244">
        <v>5372</v>
      </c>
      <c r="B244" t="s">
        <v>251</v>
      </c>
      <c r="C244" t="s">
        <v>1339</v>
      </c>
      <c r="D244" t="s">
        <v>1367</v>
      </c>
      <c r="E244" t="s">
        <v>1441</v>
      </c>
      <c r="F244" t="s">
        <v>1683</v>
      </c>
      <c r="G244" t="b">
        <v>1</v>
      </c>
      <c r="H244">
        <f>HYPERLINK("https://athena.uww.org/media/cache/person_default/uploads/images/referee-5372.jpg")</f>
        <v>0</v>
      </c>
      <c r="I244">
        <f>HYPERLINK("https://athena.uww.org/p/5372")</f>
        <v>0</v>
      </c>
    </row>
    <row r="245" spans="1:9">
      <c r="A245">
        <v>5495</v>
      </c>
      <c r="B245" t="s">
        <v>252</v>
      </c>
      <c r="C245" t="s">
        <v>1339</v>
      </c>
      <c r="D245" t="s">
        <v>1367</v>
      </c>
      <c r="E245" t="s">
        <v>1441</v>
      </c>
      <c r="F245" t="s">
        <v>1684</v>
      </c>
      <c r="G245" t="b">
        <v>1</v>
      </c>
      <c r="H245">
        <f>HYPERLINK("https://athena.uww.org/media/cache/person_default/uploads/images/crop/5c3ed52a451ab964059701.png")</f>
        <v>0</v>
      </c>
      <c r="I245">
        <f>HYPERLINK("https://athena.uww.org/p/5495")</f>
        <v>0</v>
      </c>
    </row>
    <row r="246" spans="1:9">
      <c r="A246">
        <v>5369</v>
      </c>
      <c r="B246" t="s">
        <v>253</v>
      </c>
      <c r="C246" t="s">
        <v>1339</v>
      </c>
      <c r="D246" t="s">
        <v>1367</v>
      </c>
      <c r="E246" t="s">
        <v>1441</v>
      </c>
      <c r="F246" t="s">
        <v>1685</v>
      </c>
      <c r="G246" t="b">
        <v>1</v>
      </c>
      <c r="H246">
        <f>HYPERLINK("https://athena.uww.org/media/cache/person_default/uploads/images/crop/5d07507e0a00e284908332.png")</f>
        <v>0</v>
      </c>
      <c r="I246">
        <f>HYPERLINK("https://athena.uww.org/p/5369")</f>
        <v>0</v>
      </c>
    </row>
    <row r="247" spans="1:9">
      <c r="A247">
        <v>5435</v>
      </c>
      <c r="B247" t="s">
        <v>254</v>
      </c>
      <c r="C247" t="s">
        <v>1339</v>
      </c>
      <c r="D247" t="s">
        <v>1367</v>
      </c>
      <c r="E247" t="s">
        <v>1441</v>
      </c>
      <c r="F247" t="s">
        <v>1686</v>
      </c>
      <c r="G247" t="b">
        <v>1</v>
      </c>
      <c r="H247">
        <f>HYPERLINK("https://athena.uww.org/media/cache/person_default/uploads/images/referee-5435.jpg")</f>
        <v>0</v>
      </c>
      <c r="I247">
        <f>HYPERLINK("https://athena.uww.org/p/5435")</f>
        <v>0</v>
      </c>
    </row>
    <row r="248" spans="1:9">
      <c r="A248">
        <v>4824</v>
      </c>
      <c r="B248" t="s">
        <v>255</v>
      </c>
      <c r="C248" t="s">
        <v>1339</v>
      </c>
      <c r="D248" t="s">
        <v>1367</v>
      </c>
      <c r="E248" t="s">
        <v>1441</v>
      </c>
      <c r="F248" t="s">
        <v>1687</v>
      </c>
      <c r="G248" t="b">
        <v>1</v>
      </c>
      <c r="H248">
        <f>HYPERLINK("https://athena.uww.org/media/cache/person_default/uploads/images/5d41895256706139945968.jpg")</f>
        <v>0</v>
      </c>
      <c r="I248">
        <f>HYPERLINK("https://athena.uww.org/p/4824")</f>
        <v>0</v>
      </c>
    </row>
    <row r="249" spans="1:9">
      <c r="A249">
        <v>71203</v>
      </c>
      <c r="B249" t="s">
        <v>256</v>
      </c>
      <c r="C249" t="s">
        <v>1340</v>
      </c>
      <c r="D249" t="s">
        <v>1367</v>
      </c>
      <c r="E249" t="s">
        <v>1441</v>
      </c>
      <c r="F249" t="s">
        <v>1688</v>
      </c>
      <c r="G249" t="b">
        <v>1</v>
      </c>
      <c r="H249">
        <f>HYPERLINK("https://athena.uww.org/media/cache/person_default/uploads/images/crop/5dbad2ac79616934772359.png")</f>
        <v>0</v>
      </c>
      <c r="I249">
        <f>HYPERLINK("https://athena.uww.org/p/71203")</f>
        <v>0</v>
      </c>
    </row>
    <row r="250" spans="1:9">
      <c r="A250">
        <v>59185</v>
      </c>
      <c r="B250" t="s">
        <v>257</v>
      </c>
      <c r="C250" t="s">
        <v>1339</v>
      </c>
      <c r="D250" t="s">
        <v>1367</v>
      </c>
      <c r="E250" t="s">
        <v>1441</v>
      </c>
      <c r="F250" t="s">
        <v>1689</v>
      </c>
      <c r="G250" t="b">
        <v>1</v>
      </c>
      <c r="H250">
        <f>HYPERLINK("https://athena.uww.org/media/cache/person_default/uploads/images/crop/5b30ae3bede06.png")</f>
        <v>0</v>
      </c>
      <c r="I250">
        <f>HYPERLINK("https://athena.uww.org/p/59185")</f>
        <v>0</v>
      </c>
    </row>
    <row r="251" spans="1:9">
      <c r="A251">
        <v>4823</v>
      </c>
      <c r="B251" t="s">
        <v>258</v>
      </c>
      <c r="C251" t="s">
        <v>1339</v>
      </c>
      <c r="D251" t="s">
        <v>1367</v>
      </c>
      <c r="E251" t="s">
        <v>1441</v>
      </c>
      <c r="F251" t="s">
        <v>1669</v>
      </c>
      <c r="G251" t="b">
        <v>1</v>
      </c>
      <c r="H251">
        <f>HYPERLINK("https://athena.uww.org/media/cache/person_default/uploads/images/56797effd965f.jpg")</f>
        <v>0</v>
      </c>
      <c r="I251">
        <f>HYPERLINK("https://athena.uww.org/p/4823")</f>
        <v>0</v>
      </c>
    </row>
    <row r="252" spans="1:9">
      <c r="A252">
        <v>5584</v>
      </c>
      <c r="B252" t="s">
        <v>259</v>
      </c>
      <c r="C252" t="s">
        <v>1339</v>
      </c>
      <c r="D252" t="s">
        <v>1367</v>
      </c>
      <c r="E252" t="s">
        <v>1441</v>
      </c>
      <c r="F252" t="s">
        <v>1690</v>
      </c>
      <c r="G252" t="b">
        <v>1</v>
      </c>
      <c r="H252">
        <f>HYPERLINK("https://athena.uww.org/media/cache/person_default/uploads/images/crop/5ab0bea9a13aa.png")</f>
        <v>0</v>
      </c>
      <c r="I252">
        <f>HYPERLINK("https://athena.uww.org/p/5584")</f>
        <v>0</v>
      </c>
    </row>
    <row r="253" spans="1:9">
      <c r="A253">
        <v>71202</v>
      </c>
      <c r="B253" t="s">
        <v>260</v>
      </c>
      <c r="C253" t="s">
        <v>1339</v>
      </c>
      <c r="D253" t="s">
        <v>1367</v>
      </c>
      <c r="E253" t="s">
        <v>1439</v>
      </c>
      <c r="F253" t="s">
        <v>1691</v>
      </c>
      <c r="G253" t="b">
        <v>1</v>
      </c>
      <c r="H253">
        <f>HYPERLINK("https://athena.uww.org/media/cache/person_default/uploads/images/crop/6411767469c77377764010.png")</f>
        <v>0</v>
      </c>
      <c r="I253">
        <f>HYPERLINK("https://athena.uww.org/p/71202")</f>
        <v>0</v>
      </c>
    </row>
    <row r="254" spans="1:9">
      <c r="A254">
        <v>58557</v>
      </c>
      <c r="B254" t="s">
        <v>261</v>
      </c>
      <c r="C254" t="s">
        <v>1339</v>
      </c>
      <c r="D254" t="s">
        <v>1367</v>
      </c>
      <c r="E254" t="s">
        <v>1439</v>
      </c>
      <c r="F254" t="s">
        <v>1692</v>
      </c>
      <c r="G254" t="b">
        <v>1</v>
      </c>
      <c r="H254">
        <f>HYPERLINK("https://athena.uww.org/media/cache/person_default/uploads/images/5b06af90a963c.jpg")</f>
        <v>0</v>
      </c>
      <c r="I254">
        <f>HYPERLINK("https://athena.uww.org/p/58557")</f>
        <v>0</v>
      </c>
    </row>
    <row r="255" spans="1:9">
      <c r="A255">
        <v>5373</v>
      </c>
      <c r="B255" t="s">
        <v>262</v>
      </c>
      <c r="C255" t="s">
        <v>1340</v>
      </c>
      <c r="D255" t="s">
        <v>1367</v>
      </c>
      <c r="E255" t="s">
        <v>1439</v>
      </c>
      <c r="F255" t="s">
        <v>1693</v>
      </c>
      <c r="G255" t="b">
        <v>1</v>
      </c>
      <c r="H255">
        <f>HYPERLINK("https://athena.uww.org/media/cache/person_default/uploads/images/referee-5373.jpg")</f>
        <v>0</v>
      </c>
      <c r="I255">
        <f>HYPERLINK("https://athena.uww.org/p/5373")</f>
        <v>0</v>
      </c>
    </row>
    <row r="256" spans="1:9">
      <c r="A256">
        <v>58558</v>
      </c>
      <c r="B256" t="s">
        <v>263</v>
      </c>
      <c r="C256" t="s">
        <v>1339</v>
      </c>
      <c r="D256" t="s">
        <v>1367</v>
      </c>
      <c r="E256" t="s">
        <v>1439</v>
      </c>
      <c r="F256" t="s">
        <v>1694</v>
      </c>
      <c r="G256" t="b">
        <v>1</v>
      </c>
      <c r="H256">
        <f>HYPERLINK("https://athena.uww.org/media/cache/person_default/uploads/images/crop/5b0eb08dec1db.png")</f>
        <v>0</v>
      </c>
      <c r="I256">
        <f>HYPERLINK("https://athena.uww.org/p/58558")</f>
        <v>0</v>
      </c>
    </row>
    <row r="257" spans="1:9">
      <c r="A257">
        <v>35470</v>
      </c>
      <c r="B257" t="s">
        <v>264</v>
      </c>
      <c r="C257" t="s">
        <v>1339</v>
      </c>
      <c r="D257" t="s">
        <v>1367</v>
      </c>
      <c r="E257" t="s">
        <v>1439</v>
      </c>
      <c r="F257" t="s">
        <v>1695</v>
      </c>
      <c r="G257" t="b">
        <v>1</v>
      </c>
      <c r="H257">
        <f>HYPERLINK("https://athena.uww.org/media/cache/person_default/uploads/images/674c34fa9a1cb778266224.jpeg")</f>
        <v>0</v>
      </c>
      <c r="I257">
        <f>HYPERLINK("https://athena.uww.org/p/35470")</f>
        <v>0</v>
      </c>
    </row>
    <row r="258" spans="1:9">
      <c r="A258">
        <v>5347</v>
      </c>
      <c r="B258" t="s">
        <v>265</v>
      </c>
      <c r="C258" t="s">
        <v>1339</v>
      </c>
      <c r="D258" t="s">
        <v>1367</v>
      </c>
      <c r="E258" t="s">
        <v>1439</v>
      </c>
      <c r="F258" t="s">
        <v>1696</v>
      </c>
      <c r="G258" t="b">
        <v>1</v>
      </c>
      <c r="H258">
        <f>HYPERLINK("https://athena.uww.org/media/cache/person_default/uploads/images/referee-5347.jpg")</f>
        <v>0</v>
      </c>
      <c r="I258">
        <f>HYPERLINK("https://athena.uww.org/p/5347")</f>
        <v>0</v>
      </c>
    </row>
    <row r="259" spans="1:9">
      <c r="A259">
        <v>4755</v>
      </c>
      <c r="B259" t="s">
        <v>266</v>
      </c>
      <c r="C259" t="s">
        <v>1339</v>
      </c>
      <c r="D259" t="s">
        <v>1367</v>
      </c>
      <c r="E259" t="s">
        <v>1439</v>
      </c>
      <c r="F259" t="s">
        <v>1697</v>
      </c>
      <c r="G259" t="b">
        <v>1</v>
      </c>
      <c r="H259">
        <f>HYPERLINK("https://athena.uww.org/media/cache/person_default/uploads/images/referee-4755.jpg")</f>
        <v>0</v>
      </c>
      <c r="I259">
        <f>HYPERLINK("https://athena.uww.org/p/4755")</f>
        <v>0</v>
      </c>
    </row>
    <row r="260" spans="1:9">
      <c r="A260">
        <v>71312</v>
      </c>
      <c r="B260" t="s">
        <v>267</v>
      </c>
      <c r="C260" t="s">
        <v>1339</v>
      </c>
      <c r="D260" t="s">
        <v>1367</v>
      </c>
      <c r="E260" t="s">
        <v>1439</v>
      </c>
      <c r="F260" t="s">
        <v>1698</v>
      </c>
      <c r="G260" t="b">
        <v>1</v>
      </c>
      <c r="H260">
        <f>HYPERLINK("https://athena.uww.org/media/cache/person_default/uploads/images/crop/5dc165fe255e5447705222.png")</f>
        <v>0</v>
      </c>
      <c r="I260">
        <f>HYPERLINK("https://athena.uww.org/p/71312")</f>
        <v>0</v>
      </c>
    </row>
    <row r="261" spans="1:9">
      <c r="A261">
        <v>87523</v>
      </c>
      <c r="B261" t="s">
        <v>268</v>
      </c>
      <c r="C261" t="s">
        <v>1340</v>
      </c>
      <c r="D261" t="s">
        <v>1367</v>
      </c>
      <c r="E261" t="s">
        <v>1439</v>
      </c>
      <c r="F261" t="s">
        <v>1699</v>
      </c>
      <c r="G261" t="b">
        <v>1</v>
      </c>
      <c r="H261">
        <f>HYPERLINK("https://athena.uww.org/media/cache/person_default/uploads/images/crop/635b99621516d184747358.png")</f>
        <v>0</v>
      </c>
      <c r="I261">
        <f>HYPERLINK("https://athena.uww.org/p/87523")</f>
        <v>0</v>
      </c>
    </row>
    <row r="262" spans="1:9">
      <c r="A262">
        <v>5585</v>
      </c>
      <c r="B262" t="s">
        <v>269</v>
      </c>
      <c r="C262" t="s">
        <v>1339</v>
      </c>
      <c r="D262" t="s">
        <v>1367</v>
      </c>
      <c r="E262" t="s">
        <v>1439</v>
      </c>
      <c r="F262" t="s">
        <v>1700</v>
      </c>
      <c r="G262" t="b">
        <v>1</v>
      </c>
      <c r="H262">
        <f>HYPERLINK("https://athena.uww.org/media/cache/person_default/uploads/images/referee-5585.jpg")</f>
        <v>0</v>
      </c>
      <c r="I262">
        <f>HYPERLINK("https://athena.uww.org/p/5585")</f>
        <v>0</v>
      </c>
    </row>
    <row r="263" spans="1:9">
      <c r="A263">
        <v>5534</v>
      </c>
      <c r="B263" t="s">
        <v>270</v>
      </c>
      <c r="C263" t="s">
        <v>1339</v>
      </c>
      <c r="D263" t="s">
        <v>1367</v>
      </c>
      <c r="E263" t="s">
        <v>1439</v>
      </c>
      <c r="F263" t="s">
        <v>1701</v>
      </c>
      <c r="G263" t="b">
        <v>1</v>
      </c>
      <c r="H263">
        <f>HYPERLINK("https://athena.uww.org/media/cache/person_default/uploads/images/56797d6785919.jpg")</f>
        <v>0</v>
      </c>
      <c r="I263">
        <f>HYPERLINK("https://athena.uww.org/p/5534")</f>
        <v>0</v>
      </c>
    </row>
    <row r="264" spans="1:9">
      <c r="A264">
        <v>5374</v>
      </c>
      <c r="B264" t="s">
        <v>271</v>
      </c>
      <c r="C264" t="s">
        <v>1339</v>
      </c>
      <c r="D264" t="s">
        <v>1367</v>
      </c>
      <c r="E264" t="s">
        <v>1439</v>
      </c>
      <c r="F264" t="s">
        <v>1702</v>
      </c>
      <c r="G264" t="b">
        <v>1</v>
      </c>
      <c r="H264">
        <f>HYPERLINK("https://athena.uww.org/media/cache/person_default/uploads/images/crop/687f941076cb5911383450.png")</f>
        <v>0</v>
      </c>
      <c r="I264">
        <f>HYPERLINK("https://athena.uww.org/p/5374")</f>
        <v>0</v>
      </c>
    </row>
    <row r="265" spans="1:9">
      <c r="A265">
        <v>4096</v>
      </c>
      <c r="B265" t="s">
        <v>272</v>
      </c>
      <c r="C265" t="s">
        <v>1339</v>
      </c>
      <c r="D265" t="s">
        <v>1367</v>
      </c>
      <c r="E265" t="s">
        <v>1439</v>
      </c>
      <c r="F265" t="s">
        <v>1703</v>
      </c>
      <c r="G265" t="b">
        <v>1</v>
      </c>
      <c r="H265">
        <f>HYPERLINK("https://athena.uww.org/media/cache/person_default/uploads/images/567a48e6d1f57.jpg")</f>
        <v>0</v>
      </c>
      <c r="I265">
        <f>HYPERLINK("https://athena.uww.org/p/4096")</f>
        <v>0</v>
      </c>
    </row>
    <row r="266" spans="1:9">
      <c r="A266">
        <v>5371</v>
      </c>
      <c r="B266" t="s">
        <v>273</v>
      </c>
      <c r="C266" t="s">
        <v>1339</v>
      </c>
      <c r="D266" t="s">
        <v>1367</v>
      </c>
      <c r="E266" t="s">
        <v>1439</v>
      </c>
      <c r="F266" t="s">
        <v>1518</v>
      </c>
      <c r="G266" t="b">
        <v>1</v>
      </c>
      <c r="H266">
        <f>HYPERLINK("https://athena.uww.org/media/cache/person_default/uploads/images/referee-5371.jpg")</f>
        <v>0</v>
      </c>
      <c r="I266">
        <f>HYPERLINK("https://athena.uww.org/p/5371")</f>
        <v>0</v>
      </c>
    </row>
    <row r="267" spans="1:9">
      <c r="A267">
        <v>71404</v>
      </c>
      <c r="B267" t="s">
        <v>274</v>
      </c>
      <c r="C267" t="s">
        <v>1339</v>
      </c>
      <c r="D267" t="s">
        <v>1367</v>
      </c>
      <c r="E267" t="s">
        <v>1442</v>
      </c>
      <c r="F267" t="s">
        <v>1704</v>
      </c>
      <c r="G267" t="b">
        <v>1</v>
      </c>
      <c r="H267">
        <f>HYPERLINK("https://athena.uww.org/media/cache/person_default/uploads/images/crop/5dcab0f59c0b8997378783.png")</f>
        <v>0</v>
      </c>
      <c r="I267">
        <f>HYPERLINK("https://athena.uww.org/p/71404")</f>
        <v>0</v>
      </c>
    </row>
    <row r="268" spans="1:9">
      <c r="A268">
        <v>35471</v>
      </c>
      <c r="B268" t="s">
        <v>275</v>
      </c>
      <c r="C268" t="s">
        <v>1339</v>
      </c>
      <c r="D268" t="s">
        <v>1367</v>
      </c>
      <c r="E268" t="s">
        <v>1442</v>
      </c>
      <c r="F268" t="s">
        <v>1705</v>
      </c>
      <c r="G268" t="b">
        <v>0</v>
      </c>
      <c r="H268">
        <f>HYPERLINK("https://athena.uww.org/media/cache/person_default/uploads/images/crop/580f163755cf7.png")</f>
        <v>0</v>
      </c>
      <c r="I268">
        <f>HYPERLINK("https://athena.uww.org/p/35471")</f>
        <v>0</v>
      </c>
    </row>
    <row r="269" spans="1:9">
      <c r="A269">
        <v>101872</v>
      </c>
      <c r="B269" t="s">
        <v>276</v>
      </c>
      <c r="C269" t="s">
        <v>1339</v>
      </c>
      <c r="D269" t="s">
        <v>1367</v>
      </c>
      <c r="E269" t="s">
        <v>1442</v>
      </c>
      <c r="F269" t="s">
        <v>1706</v>
      </c>
      <c r="G269" t="b">
        <v>0</v>
      </c>
      <c r="H269">
        <f>HYPERLINK("https://athena.uww.org/media/cache/person_default/uploads/images/crop/6673bf92c6e4a176962139.png")</f>
        <v>0</v>
      </c>
      <c r="I269">
        <f>HYPERLINK("https://athena.uww.org/p/101872")</f>
        <v>0</v>
      </c>
    </row>
    <row r="270" spans="1:9">
      <c r="A270">
        <v>5370</v>
      </c>
      <c r="B270" t="s">
        <v>277</v>
      </c>
      <c r="C270" t="s">
        <v>1339</v>
      </c>
      <c r="D270" t="s">
        <v>1367</v>
      </c>
      <c r="E270" t="s">
        <v>1442</v>
      </c>
      <c r="F270" t="s">
        <v>1707</v>
      </c>
      <c r="G270" t="b">
        <v>0</v>
      </c>
      <c r="H270">
        <f>HYPERLINK("https://athena.uww.org/media/cache/person_default/uploads/images/referee-5370.jpg")</f>
        <v>0</v>
      </c>
      <c r="I270">
        <f>HYPERLINK("https://athena.uww.org/p/5370")</f>
        <v>0</v>
      </c>
    </row>
    <row r="271" spans="1:9">
      <c r="A271">
        <v>109796</v>
      </c>
      <c r="B271" t="s">
        <v>278</v>
      </c>
      <c r="C271" t="s">
        <v>1339</v>
      </c>
      <c r="D271" t="s">
        <v>1367</v>
      </c>
      <c r="E271" t="s">
        <v>1442</v>
      </c>
      <c r="F271" t="s">
        <v>1708</v>
      </c>
      <c r="G271" t="b">
        <v>1</v>
      </c>
      <c r="H271">
        <f>HYPERLINK("https://athena.uww.org/media/cache/person_default/uploads/images/crop/6879e15b6c538294288769.png")</f>
        <v>0</v>
      </c>
      <c r="I271">
        <f>HYPERLINK("https://athena.uww.org/p/109796")</f>
        <v>0</v>
      </c>
    </row>
    <row r="272" spans="1:9">
      <c r="A272">
        <v>87525</v>
      </c>
      <c r="B272" t="s">
        <v>279</v>
      </c>
      <c r="C272" t="s">
        <v>1340</v>
      </c>
      <c r="D272" t="s">
        <v>1367</v>
      </c>
      <c r="E272" t="s">
        <v>1442</v>
      </c>
      <c r="F272" t="s">
        <v>1709</v>
      </c>
      <c r="G272" t="b">
        <v>1</v>
      </c>
      <c r="H272">
        <f>HYPERLINK("https://athena.uww.org/media/cache/person_default/uploads/images/crop/635b97fd3d91f305812632.png")</f>
        <v>0</v>
      </c>
      <c r="I272">
        <f>HYPERLINK("https://athena.uww.org/p/87525")</f>
        <v>0</v>
      </c>
    </row>
    <row r="273" spans="1:9">
      <c r="A273">
        <v>101871</v>
      </c>
      <c r="B273" t="s">
        <v>280</v>
      </c>
      <c r="C273" t="s">
        <v>1339</v>
      </c>
      <c r="D273" t="s">
        <v>1367</v>
      </c>
      <c r="E273" t="s">
        <v>1442</v>
      </c>
      <c r="F273" t="s">
        <v>1710</v>
      </c>
      <c r="G273" t="b">
        <v>0</v>
      </c>
      <c r="H273">
        <f>HYPERLINK("https://athena.uww.org/media/cache/person_default/uploads/images/crop/6673bf076b05c273530158.png")</f>
        <v>0</v>
      </c>
      <c r="I273">
        <f>HYPERLINK("https://athena.uww.org/p/101871")</f>
        <v>0</v>
      </c>
    </row>
    <row r="274" spans="1:9">
      <c r="A274">
        <v>96251</v>
      </c>
      <c r="B274" t="s">
        <v>281</v>
      </c>
      <c r="C274" t="s">
        <v>1339</v>
      </c>
      <c r="D274" t="s">
        <v>1367</v>
      </c>
      <c r="E274" t="s">
        <v>1442</v>
      </c>
      <c r="F274" t="s">
        <v>1711</v>
      </c>
      <c r="G274" t="b">
        <v>1</v>
      </c>
      <c r="H274">
        <f>HYPERLINK("https://athena.uww.org/media/cache/person_default/uploads/images/655a00f361c99002366388.jpeg")</f>
        <v>0</v>
      </c>
      <c r="I274">
        <f>HYPERLINK("https://athena.uww.org/p/96251")</f>
        <v>0</v>
      </c>
    </row>
    <row r="275" spans="1:9">
      <c r="A275">
        <v>5586</v>
      </c>
      <c r="B275" t="s">
        <v>282</v>
      </c>
      <c r="C275" t="s">
        <v>1339</v>
      </c>
      <c r="D275" t="s">
        <v>1367</v>
      </c>
      <c r="E275" t="s">
        <v>1442</v>
      </c>
      <c r="F275" t="s">
        <v>1712</v>
      </c>
      <c r="G275" t="b">
        <v>0</v>
      </c>
      <c r="H275">
        <f>HYPERLINK("https://athena.uww.org/media/cache/person_default/uploads/images/referee-5586.jpg")</f>
        <v>0</v>
      </c>
      <c r="I275">
        <f>HYPERLINK("https://athena.uww.org/p/5586")</f>
        <v>0</v>
      </c>
    </row>
    <row r="276" spans="1:9">
      <c r="A276">
        <v>5434</v>
      </c>
      <c r="B276" t="s">
        <v>283</v>
      </c>
      <c r="C276" t="s">
        <v>1339</v>
      </c>
      <c r="D276" t="s">
        <v>1367</v>
      </c>
      <c r="E276" t="s">
        <v>1442</v>
      </c>
      <c r="F276" t="s">
        <v>1713</v>
      </c>
      <c r="G276" t="b">
        <v>1</v>
      </c>
      <c r="H276">
        <f>HYPERLINK("https://athena.uww.org/media/cache/person_default/uploads/images/referee-5434.jpg")</f>
        <v>0</v>
      </c>
      <c r="I276">
        <f>HYPERLINK("https://athena.uww.org/p/5434")</f>
        <v>0</v>
      </c>
    </row>
    <row r="277" spans="1:9">
      <c r="A277">
        <v>87515</v>
      </c>
      <c r="B277" t="s">
        <v>284</v>
      </c>
      <c r="C277" t="s">
        <v>1339</v>
      </c>
      <c r="D277" t="s">
        <v>1367</v>
      </c>
      <c r="E277" t="s">
        <v>1442</v>
      </c>
      <c r="F277" t="s">
        <v>1714</v>
      </c>
      <c r="G277" t="b">
        <v>1</v>
      </c>
      <c r="H277">
        <f>HYPERLINK("https://athena.uww.org/media/cache/person_default/uploads/images/crop/635b99aa71d5c114648034.png")</f>
        <v>0</v>
      </c>
      <c r="I277">
        <f>HYPERLINK("https://athena.uww.org/p/87515")</f>
        <v>0</v>
      </c>
    </row>
    <row r="278" spans="1:9">
      <c r="A278">
        <v>5413</v>
      </c>
      <c r="B278" t="s">
        <v>285</v>
      </c>
      <c r="C278" t="s">
        <v>1339</v>
      </c>
      <c r="D278" t="s">
        <v>1367</v>
      </c>
      <c r="E278" t="s">
        <v>1442</v>
      </c>
      <c r="F278" t="s">
        <v>1715</v>
      </c>
      <c r="G278" t="b">
        <v>1</v>
      </c>
      <c r="H278">
        <f>HYPERLINK("https://athena.uww.org/media/cache/person_default/uploads/images/referee-5413.jpg")</f>
        <v>0</v>
      </c>
      <c r="I278">
        <f>HYPERLINK("https://athena.uww.org/p/5413")</f>
        <v>0</v>
      </c>
    </row>
    <row r="279" spans="1:9">
      <c r="A279">
        <v>5583</v>
      </c>
      <c r="B279" t="s">
        <v>286</v>
      </c>
      <c r="C279" t="s">
        <v>1339</v>
      </c>
      <c r="D279" t="s">
        <v>1367</v>
      </c>
      <c r="E279" t="s">
        <v>1442</v>
      </c>
      <c r="F279" t="s">
        <v>1716</v>
      </c>
      <c r="G279" t="b">
        <v>0</v>
      </c>
      <c r="H279">
        <f>HYPERLINK("https://athena.uww.org/media/cache/person_default/uploads/images/referee-5583.jpg")</f>
        <v>0</v>
      </c>
      <c r="I279">
        <f>HYPERLINK("https://athena.uww.org/p/5583")</f>
        <v>0</v>
      </c>
    </row>
    <row r="280" spans="1:9">
      <c r="A280">
        <v>87514</v>
      </c>
      <c r="B280" t="s">
        <v>287</v>
      </c>
      <c r="C280" t="s">
        <v>1339</v>
      </c>
      <c r="D280" t="s">
        <v>1367</v>
      </c>
      <c r="E280" t="s">
        <v>1442</v>
      </c>
      <c r="F280" t="s">
        <v>1717</v>
      </c>
      <c r="G280" t="b">
        <v>1</v>
      </c>
      <c r="H280">
        <f>HYPERLINK("https://athena.uww.org/media/cache/person_default/uploads/images/crop/635b9a1bde10c272568282.png")</f>
        <v>0</v>
      </c>
      <c r="I280">
        <f>HYPERLINK("https://athena.uww.org/p/87514")</f>
        <v>0</v>
      </c>
    </row>
    <row r="281" spans="1:9">
      <c r="A281">
        <v>87604</v>
      </c>
      <c r="B281" t="s">
        <v>288</v>
      </c>
      <c r="C281" t="s">
        <v>1339</v>
      </c>
      <c r="D281" t="s">
        <v>1367</v>
      </c>
      <c r="E281" t="s">
        <v>1442</v>
      </c>
      <c r="F281" t="s">
        <v>1718</v>
      </c>
      <c r="G281" t="b">
        <v>1</v>
      </c>
      <c r="H281">
        <f>HYPERLINK("https://athena.uww.org/media/cache/person_default/uploads/images/crop/6364c82e448ee721962136.png")</f>
        <v>0</v>
      </c>
      <c r="I281">
        <f>HYPERLINK("https://athena.uww.org/p/87604")</f>
        <v>0</v>
      </c>
    </row>
    <row r="282" spans="1:9">
      <c r="A282">
        <v>109603</v>
      </c>
      <c r="B282" t="s">
        <v>289</v>
      </c>
      <c r="C282" t="s">
        <v>1339</v>
      </c>
      <c r="D282" t="s">
        <v>1367</v>
      </c>
      <c r="E282" t="s">
        <v>1442</v>
      </c>
      <c r="F282" t="s">
        <v>1719</v>
      </c>
      <c r="G282" t="b">
        <v>1</v>
      </c>
      <c r="H282">
        <f>HYPERLINK("https://athena.uww.org/media/cache/person_default/uploads/images/crop/686b6b1e44c1b617723295.png")</f>
        <v>0</v>
      </c>
      <c r="I282">
        <f>HYPERLINK("https://athena.uww.org/p/109603")</f>
        <v>0</v>
      </c>
    </row>
    <row r="283" spans="1:9">
      <c r="A283">
        <v>109797</v>
      </c>
      <c r="B283" t="s">
        <v>290</v>
      </c>
      <c r="C283" t="s">
        <v>1339</v>
      </c>
      <c r="D283" t="s">
        <v>1367</v>
      </c>
      <c r="E283" t="s">
        <v>1442</v>
      </c>
      <c r="F283" t="s">
        <v>1720</v>
      </c>
      <c r="G283" t="b">
        <v>1</v>
      </c>
      <c r="H283">
        <f>HYPERLINK("https://athena.uww.org/media/cache/person_default/uploads/images/crop/6879e1a926db3883608624.png")</f>
        <v>0</v>
      </c>
      <c r="I283">
        <f>HYPERLINK("https://athena.uww.org/p/109797")</f>
        <v>0</v>
      </c>
    </row>
    <row r="284" spans="1:9">
      <c r="A284">
        <v>87524</v>
      </c>
      <c r="B284" t="s">
        <v>291</v>
      </c>
      <c r="C284" t="s">
        <v>1339</v>
      </c>
      <c r="D284" t="s">
        <v>1367</v>
      </c>
      <c r="E284" t="s">
        <v>1442</v>
      </c>
      <c r="F284" t="s">
        <v>1721</v>
      </c>
      <c r="G284" t="b">
        <v>1</v>
      </c>
      <c r="H284">
        <f>HYPERLINK("https://athena.uww.org/media/cache/person_default/uploads/images/crop/635b9b44065fc514070257.png")</f>
        <v>0</v>
      </c>
      <c r="I284">
        <f>HYPERLINK("https://athena.uww.org/p/87524")</f>
        <v>0</v>
      </c>
    </row>
    <row r="285" spans="1:9">
      <c r="A285">
        <v>83250</v>
      </c>
      <c r="B285" t="s">
        <v>292</v>
      </c>
      <c r="C285" t="s">
        <v>1339</v>
      </c>
      <c r="D285" t="s">
        <v>1368</v>
      </c>
      <c r="E285" t="s">
        <v>1439</v>
      </c>
      <c r="F285" t="s">
        <v>1722</v>
      </c>
      <c r="G285" t="b">
        <v>1</v>
      </c>
      <c r="H285">
        <f>HYPERLINK("https://athena.uww.org/media/cache/person_default/uploads/images/crop/628753826312b673720778.png")</f>
        <v>0</v>
      </c>
      <c r="I285">
        <f>HYPERLINK("https://athena.uww.org/p/83250")</f>
        <v>0</v>
      </c>
    </row>
    <row r="286" spans="1:9">
      <c r="A286">
        <v>14240</v>
      </c>
      <c r="B286" t="s">
        <v>293</v>
      </c>
      <c r="C286" t="s">
        <v>1339</v>
      </c>
      <c r="D286" t="s">
        <v>1368</v>
      </c>
      <c r="E286" t="s">
        <v>1442</v>
      </c>
      <c r="F286" t="s">
        <v>1723</v>
      </c>
      <c r="G286" t="b">
        <v>0</v>
      </c>
      <c r="H286">
        <f>HYPERLINK("https://athena.uww.org/media/cache/person_default/uploads/images/crop/63f71c840cfa9074072151.png")</f>
        <v>0</v>
      </c>
      <c r="I286">
        <f>HYPERLINK("https://athena.uww.org/p/14240")</f>
        <v>0</v>
      </c>
    </row>
    <row r="287" spans="1:9">
      <c r="A287">
        <v>4297</v>
      </c>
      <c r="B287" t="s">
        <v>294</v>
      </c>
      <c r="C287" t="s">
        <v>1339</v>
      </c>
      <c r="D287" t="s">
        <v>1368</v>
      </c>
      <c r="E287" t="s">
        <v>1442</v>
      </c>
      <c r="F287" t="s">
        <v>1724</v>
      </c>
      <c r="G287" t="b">
        <v>0</v>
      </c>
      <c r="H287">
        <f>HYPERLINK("https://athena.uww.org/media/cache/person_default/uploads/images/57fe5cea3d8b7.jpg")</f>
        <v>0</v>
      </c>
      <c r="I287">
        <f>HYPERLINK("https://athena.uww.org/p/4297")</f>
        <v>0</v>
      </c>
    </row>
    <row r="288" spans="1:9">
      <c r="A288">
        <v>30894</v>
      </c>
      <c r="B288" t="s">
        <v>295</v>
      </c>
      <c r="C288" t="s">
        <v>1339</v>
      </c>
      <c r="D288" t="s">
        <v>1368</v>
      </c>
      <c r="E288" t="s">
        <v>1442</v>
      </c>
      <c r="F288" t="s">
        <v>1725</v>
      </c>
      <c r="G288" t="b">
        <v>1</v>
      </c>
      <c r="H288">
        <f>HYPERLINK("https://athena.uww.org/media/cache/person_default/uploads/images/62f1915328e12167860030.jpg")</f>
        <v>0</v>
      </c>
      <c r="I288">
        <f>HYPERLINK("https://athena.uww.org/p/30894")</f>
        <v>0</v>
      </c>
    </row>
    <row r="289" spans="1:9">
      <c r="A289">
        <v>4177</v>
      </c>
      <c r="B289" t="s">
        <v>296</v>
      </c>
      <c r="C289" t="s">
        <v>1339</v>
      </c>
      <c r="D289" t="s">
        <v>1369</v>
      </c>
      <c r="E289" t="s">
        <v>1440</v>
      </c>
      <c r="F289" t="s">
        <v>1726</v>
      </c>
      <c r="G289" t="b">
        <v>1</v>
      </c>
      <c r="H289">
        <f>HYPERLINK("https://athena.uww.org/media/cache/person_default/uploads/images/crop/63cba0d2260ab019632471.png")</f>
        <v>0</v>
      </c>
      <c r="I289">
        <f>HYPERLINK("https://athena.uww.org/p/4177")</f>
        <v>0</v>
      </c>
    </row>
    <row r="290" spans="1:9">
      <c r="A290">
        <v>6233</v>
      </c>
      <c r="B290" t="s">
        <v>297</v>
      </c>
      <c r="C290" t="s">
        <v>1339</v>
      </c>
      <c r="D290" t="s">
        <v>1369</v>
      </c>
      <c r="E290" t="s">
        <v>1440</v>
      </c>
      <c r="F290" t="s">
        <v>1727</v>
      </c>
      <c r="G290" t="b">
        <v>1</v>
      </c>
      <c r="H290">
        <f>HYPERLINK("https://athena.uww.org/media/cache/person_default/uploads/images/crop/67cd592b3e016367430633.png")</f>
        <v>0</v>
      </c>
      <c r="I290">
        <f>HYPERLINK("https://athena.uww.org/p/6233")</f>
        <v>0</v>
      </c>
    </row>
    <row r="291" spans="1:9">
      <c r="A291">
        <v>5310</v>
      </c>
      <c r="B291" t="s">
        <v>298</v>
      </c>
      <c r="C291" t="s">
        <v>1339</v>
      </c>
      <c r="D291" t="s">
        <v>1369</v>
      </c>
      <c r="E291" t="s">
        <v>1441</v>
      </c>
      <c r="F291" t="s">
        <v>1728</v>
      </c>
      <c r="G291" t="b">
        <v>1</v>
      </c>
      <c r="H291">
        <f>HYPERLINK("https://athena.uww.org/media/cache/person_default/uploads/images/referee-5310.jpg")</f>
        <v>0</v>
      </c>
      <c r="I291">
        <f>HYPERLINK("https://athena.uww.org/p/5310")</f>
        <v>0</v>
      </c>
    </row>
    <row r="292" spans="1:9">
      <c r="A292">
        <v>60371</v>
      </c>
      <c r="B292" t="s">
        <v>299</v>
      </c>
      <c r="C292" t="s">
        <v>1340</v>
      </c>
      <c r="D292" t="s">
        <v>1369</v>
      </c>
      <c r="E292" t="s">
        <v>1441</v>
      </c>
      <c r="F292" t="s">
        <v>1729</v>
      </c>
      <c r="G292" t="b">
        <v>1</v>
      </c>
      <c r="H292">
        <f>HYPERLINK("https://athena.uww.org/media/cache/person_default/uploads/images/crop/5b88002e8e0f8.png")</f>
        <v>0</v>
      </c>
      <c r="I292">
        <f>HYPERLINK("https://athena.uww.org/p/60371")</f>
        <v>0</v>
      </c>
    </row>
    <row r="293" spans="1:9">
      <c r="A293">
        <v>5311</v>
      </c>
      <c r="B293" t="s">
        <v>300</v>
      </c>
      <c r="C293" t="s">
        <v>1339</v>
      </c>
      <c r="D293" t="s">
        <v>1369</v>
      </c>
      <c r="E293" t="s">
        <v>1441</v>
      </c>
      <c r="F293" t="s">
        <v>1730</v>
      </c>
      <c r="G293" t="b">
        <v>1</v>
      </c>
      <c r="H293">
        <f>HYPERLINK("https://athena.uww.org/media/cache/person_default/uploads/images/5702096665666.jpg")</f>
        <v>0</v>
      </c>
      <c r="I293">
        <f>HYPERLINK("https://athena.uww.org/p/5311")</f>
        <v>0</v>
      </c>
    </row>
    <row r="294" spans="1:9">
      <c r="A294">
        <v>83221</v>
      </c>
      <c r="B294" t="s">
        <v>301</v>
      </c>
      <c r="C294" t="s">
        <v>1339</v>
      </c>
      <c r="D294" t="s">
        <v>1369</v>
      </c>
      <c r="E294" t="s">
        <v>1439</v>
      </c>
      <c r="F294" t="s">
        <v>1731</v>
      </c>
      <c r="G294" t="b">
        <v>1</v>
      </c>
      <c r="H294">
        <f>HYPERLINK("https://athena.uww.org/media/cache/person_default/uploads/images/6284c91e2de1a812690400.jpg")</f>
        <v>0</v>
      </c>
      <c r="I294">
        <f>HYPERLINK("https://athena.uww.org/p/83221")</f>
        <v>0</v>
      </c>
    </row>
    <row r="295" spans="1:9">
      <c r="A295">
        <v>7552</v>
      </c>
      <c r="B295" t="s">
        <v>302</v>
      </c>
      <c r="C295" t="s">
        <v>1339</v>
      </c>
      <c r="D295" t="s">
        <v>1369</v>
      </c>
      <c r="E295" t="s">
        <v>1439</v>
      </c>
      <c r="F295" t="s">
        <v>1732</v>
      </c>
      <c r="G295" t="b">
        <v>1</v>
      </c>
      <c r="H295">
        <f>HYPERLINK("https://athena.uww.org/media/cache/person_default/uploads/images/referee-5309.jpg")</f>
        <v>0</v>
      </c>
      <c r="I295">
        <f>HYPERLINK("https://athena.uww.org/p/7552")</f>
        <v>0</v>
      </c>
    </row>
    <row r="296" spans="1:9">
      <c r="A296">
        <v>41775</v>
      </c>
      <c r="B296" t="s">
        <v>303</v>
      </c>
      <c r="C296" t="s">
        <v>1339</v>
      </c>
      <c r="D296" t="s">
        <v>1369</v>
      </c>
      <c r="E296" t="s">
        <v>1439</v>
      </c>
      <c r="F296" t="s">
        <v>1733</v>
      </c>
      <c r="G296" t="b">
        <v>1</v>
      </c>
      <c r="H296">
        <f>HYPERLINK("https://athena.uww.org/media/cache/person_default/uploads/images/crop/580f1840474b3.png")</f>
        <v>0</v>
      </c>
      <c r="I296">
        <f>HYPERLINK("https://athena.uww.org/p/41775")</f>
        <v>0</v>
      </c>
    </row>
    <row r="297" spans="1:9">
      <c r="A297">
        <v>58988</v>
      </c>
      <c r="B297" t="s">
        <v>304</v>
      </c>
      <c r="C297" t="s">
        <v>1339</v>
      </c>
      <c r="D297" t="s">
        <v>1369</v>
      </c>
      <c r="E297" t="s">
        <v>1439</v>
      </c>
      <c r="F297" t="s">
        <v>1734</v>
      </c>
      <c r="G297" t="b">
        <v>1</v>
      </c>
      <c r="H297">
        <f>HYPERLINK("https://athena.uww.org/media/cache/person_default/uploads/images/crop/6867630a98b4b583056419.png")</f>
        <v>0</v>
      </c>
      <c r="I297">
        <f>HYPERLINK("https://athena.uww.org/p/58988")</f>
        <v>0</v>
      </c>
    </row>
    <row r="298" spans="1:9">
      <c r="A298">
        <v>894</v>
      </c>
      <c r="B298" t="s">
        <v>305</v>
      </c>
      <c r="C298" t="s">
        <v>1339</v>
      </c>
      <c r="D298" t="s">
        <v>1369</v>
      </c>
      <c r="E298" t="s">
        <v>1442</v>
      </c>
      <c r="F298" t="s">
        <v>1735</v>
      </c>
      <c r="G298" t="b">
        <v>1</v>
      </c>
      <c r="H298">
        <f>HYPERLINK("https://athena.uww.org/media/cache/person_default/uploads/images/crop/64b6b9b5bb39a366288327.png")</f>
        <v>0</v>
      </c>
      <c r="I298">
        <f>HYPERLINK("https://athena.uww.org/p/894")</f>
        <v>0</v>
      </c>
    </row>
    <row r="299" spans="1:9">
      <c r="A299">
        <v>884</v>
      </c>
      <c r="B299" t="s">
        <v>306</v>
      </c>
      <c r="C299" t="s">
        <v>1339</v>
      </c>
      <c r="D299" t="s">
        <v>1369</v>
      </c>
      <c r="E299" t="s">
        <v>1442</v>
      </c>
      <c r="F299" t="s">
        <v>1736</v>
      </c>
      <c r="G299" t="b">
        <v>1</v>
      </c>
      <c r="H299">
        <f>HYPERLINK("https://athena.uww.org/media/cache/person_default/uploads/images/crop/6269358cd7a3f886477419.png")</f>
        <v>0</v>
      </c>
      <c r="I299">
        <f>HYPERLINK("https://athena.uww.org/p/884")</f>
        <v>0</v>
      </c>
    </row>
    <row r="300" spans="1:9">
      <c r="A300">
        <v>15050</v>
      </c>
      <c r="B300" t="s">
        <v>307</v>
      </c>
      <c r="C300" t="s">
        <v>1340</v>
      </c>
      <c r="D300" t="s">
        <v>1369</v>
      </c>
      <c r="E300" t="s">
        <v>1442</v>
      </c>
      <c r="F300" t="s">
        <v>1737</v>
      </c>
      <c r="G300" t="b">
        <v>1</v>
      </c>
      <c r="H300">
        <f>HYPERLINK("https://athena.uww.org/media/cache/person_default/uploads/images/crop/6228cf3db4d98503496233.png")</f>
        <v>0</v>
      </c>
      <c r="I300">
        <f>HYPERLINK("https://athena.uww.org/p/15050")</f>
        <v>0</v>
      </c>
    </row>
    <row r="301" spans="1:9">
      <c r="A301">
        <v>88323</v>
      </c>
      <c r="B301" t="s">
        <v>308</v>
      </c>
      <c r="C301" t="s">
        <v>1339</v>
      </c>
      <c r="D301" t="s">
        <v>1369</v>
      </c>
      <c r="E301" t="s">
        <v>1442</v>
      </c>
      <c r="F301" t="s">
        <v>1738</v>
      </c>
      <c r="G301" t="b">
        <v>1</v>
      </c>
      <c r="H301">
        <f>HYPERLINK("https://athena.uww.org/media/cache/person_default/uploads/images/crop/63ce3bac24e9d953822290.png")</f>
        <v>0</v>
      </c>
      <c r="I301">
        <f>HYPERLINK("https://athena.uww.org/p/88323")</f>
        <v>0</v>
      </c>
    </row>
    <row r="302" spans="1:9">
      <c r="A302">
        <v>4583</v>
      </c>
      <c r="B302" t="s">
        <v>309</v>
      </c>
      <c r="C302" t="s">
        <v>1339</v>
      </c>
      <c r="D302" t="s">
        <v>1369</v>
      </c>
      <c r="E302" t="s">
        <v>1442</v>
      </c>
      <c r="F302" t="s">
        <v>1739</v>
      </c>
      <c r="G302" t="b">
        <v>1</v>
      </c>
      <c r="H302">
        <f>HYPERLINK("https://athena.uww.org/media/cache/person_default/uploads/images/referee-4583.jpg")</f>
        <v>0</v>
      </c>
      <c r="I302">
        <f>HYPERLINK("https://athena.uww.org/p/4583")</f>
        <v>0</v>
      </c>
    </row>
    <row r="303" spans="1:9">
      <c r="A303">
        <v>4224</v>
      </c>
      <c r="B303" t="s">
        <v>310</v>
      </c>
      <c r="C303" t="s">
        <v>1339</v>
      </c>
      <c r="D303" t="s">
        <v>1369</v>
      </c>
      <c r="E303" t="s">
        <v>1442</v>
      </c>
      <c r="F303" t="s">
        <v>1740</v>
      </c>
      <c r="G303" t="b">
        <v>1</v>
      </c>
      <c r="H303">
        <f>HYPERLINK("https://athena.uww.org/media/cache/person_default/uploads/images/referee-4224.jpg")</f>
        <v>0</v>
      </c>
      <c r="I303">
        <f>HYPERLINK("https://athena.uww.org/p/4224")</f>
        <v>0</v>
      </c>
    </row>
    <row r="304" spans="1:9">
      <c r="A304">
        <v>9779</v>
      </c>
      <c r="B304" t="s">
        <v>311</v>
      </c>
      <c r="C304" t="s">
        <v>1339</v>
      </c>
      <c r="D304" t="s">
        <v>1369</v>
      </c>
      <c r="E304" t="s">
        <v>1442</v>
      </c>
      <c r="F304" t="s">
        <v>1741</v>
      </c>
      <c r="G304" t="b">
        <v>1</v>
      </c>
      <c r="H304">
        <f>HYPERLINK("https://athena.uww.org/media/cache/person_default/uploads/images/1043301080001.jpg")</f>
        <v>0</v>
      </c>
      <c r="I304">
        <f>HYPERLINK("https://athena.uww.org/p/9779")</f>
        <v>0</v>
      </c>
    </row>
    <row r="305" spans="1:9">
      <c r="A305">
        <v>936</v>
      </c>
      <c r="B305" t="s">
        <v>312</v>
      </c>
      <c r="C305" t="s">
        <v>1339</v>
      </c>
      <c r="D305" t="s">
        <v>1370</v>
      </c>
      <c r="E305" t="s">
        <v>1441</v>
      </c>
      <c r="F305" t="s">
        <v>1742</v>
      </c>
      <c r="G305" t="b">
        <v>1</v>
      </c>
      <c r="H305">
        <f>HYPERLINK("https://athena.uww.org/media/cache/person_default/uploads/images/crop/689dce3f5333c789853938.png")</f>
        <v>0</v>
      </c>
      <c r="I305">
        <f>HYPERLINK("https://athena.uww.org/p/936")</f>
        <v>0</v>
      </c>
    </row>
    <row r="306" spans="1:9">
      <c r="A306">
        <v>5550</v>
      </c>
      <c r="B306" t="s">
        <v>313</v>
      </c>
      <c r="C306" t="s">
        <v>1339</v>
      </c>
      <c r="D306" t="s">
        <v>1370</v>
      </c>
      <c r="E306" t="s">
        <v>1441</v>
      </c>
      <c r="F306" t="s">
        <v>1743</v>
      </c>
      <c r="G306" t="b">
        <v>1</v>
      </c>
      <c r="H306">
        <f>HYPERLINK("https://athena.uww.org/media/cache/person_default/uploads/images/referee-5550.jpg")</f>
        <v>0</v>
      </c>
      <c r="I306">
        <f>HYPERLINK("https://athena.uww.org/p/5550")</f>
        <v>0</v>
      </c>
    </row>
    <row r="307" spans="1:9">
      <c r="A307">
        <v>4690</v>
      </c>
      <c r="B307" t="s">
        <v>314</v>
      </c>
      <c r="C307" t="s">
        <v>1339</v>
      </c>
      <c r="D307" t="s">
        <v>1370</v>
      </c>
      <c r="E307" t="s">
        <v>1441</v>
      </c>
      <c r="F307" t="s">
        <v>1744</v>
      </c>
      <c r="G307" t="b">
        <v>1</v>
      </c>
      <c r="H307">
        <f>HYPERLINK("https://athena.uww.org/media/cache/person_default/uploads/images/referee-4890.jpg")</f>
        <v>0</v>
      </c>
      <c r="I307">
        <f>HYPERLINK("https://athena.uww.org/p/4690")</f>
        <v>0</v>
      </c>
    </row>
    <row r="308" spans="1:9">
      <c r="A308">
        <v>39148</v>
      </c>
      <c r="B308" t="s">
        <v>315</v>
      </c>
      <c r="C308" t="s">
        <v>1339</v>
      </c>
      <c r="D308" t="s">
        <v>1370</v>
      </c>
      <c r="E308" t="s">
        <v>1441</v>
      </c>
      <c r="F308" t="s">
        <v>1745</v>
      </c>
      <c r="G308" t="b">
        <v>1</v>
      </c>
      <c r="H308">
        <f>HYPERLINK("https://athena.uww.org/media/cache/person_default/uploads/images/crop/5771311384c87.png")</f>
        <v>0</v>
      </c>
      <c r="I308">
        <f>HYPERLINK("https://athena.uww.org/p/39148")</f>
        <v>0</v>
      </c>
    </row>
    <row r="309" spans="1:9">
      <c r="A309">
        <v>59189</v>
      </c>
      <c r="B309" t="s">
        <v>316</v>
      </c>
      <c r="C309" t="s">
        <v>1340</v>
      </c>
      <c r="D309" t="s">
        <v>1370</v>
      </c>
      <c r="E309" t="s">
        <v>1439</v>
      </c>
      <c r="F309" t="s">
        <v>1746</v>
      </c>
      <c r="G309" t="b">
        <v>1</v>
      </c>
      <c r="H309">
        <f>HYPERLINK("https://athena.uww.org/media/cache/person_default/uploads/images/crop/5b30a6651fc8e.png")</f>
        <v>0</v>
      </c>
      <c r="I309">
        <f>HYPERLINK("https://athena.uww.org/p/59189")</f>
        <v>0</v>
      </c>
    </row>
    <row r="310" spans="1:9">
      <c r="A310">
        <v>58833</v>
      </c>
      <c r="B310" t="s">
        <v>317</v>
      </c>
      <c r="C310" t="s">
        <v>1339</v>
      </c>
      <c r="D310" t="s">
        <v>1370</v>
      </c>
      <c r="E310" t="s">
        <v>1439</v>
      </c>
      <c r="F310" t="s">
        <v>1747</v>
      </c>
      <c r="G310" t="b">
        <v>1</v>
      </c>
      <c r="H310">
        <f>HYPERLINK("https://athena.uww.org/media/cache/person_default/uploads/images/crop/5b21091d0e220.png")</f>
        <v>0</v>
      </c>
      <c r="I310">
        <f>HYPERLINK("https://athena.uww.org/p/58833")</f>
        <v>0</v>
      </c>
    </row>
    <row r="311" spans="1:9">
      <c r="A311">
        <v>77759</v>
      </c>
      <c r="B311" t="s">
        <v>318</v>
      </c>
      <c r="C311" t="s">
        <v>1339</v>
      </c>
      <c r="D311" t="s">
        <v>1370</v>
      </c>
      <c r="E311" t="s">
        <v>1439</v>
      </c>
      <c r="F311" t="s">
        <v>1748</v>
      </c>
      <c r="G311" t="b">
        <v>1</v>
      </c>
      <c r="H311">
        <f>HYPERLINK("https://athena.uww.org/media/cache/person_default/uploads/images/crop/610d156c8e529263533598.png")</f>
        <v>0</v>
      </c>
      <c r="I311">
        <f>HYPERLINK("https://athena.uww.org/p/77759")</f>
        <v>0</v>
      </c>
    </row>
    <row r="312" spans="1:9">
      <c r="A312">
        <v>64407</v>
      </c>
      <c r="B312" t="s">
        <v>319</v>
      </c>
      <c r="C312" t="s">
        <v>1339</v>
      </c>
      <c r="D312" t="s">
        <v>1370</v>
      </c>
      <c r="E312" t="s">
        <v>1439</v>
      </c>
      <c r="F312" t="s">
        <v>1749</v>
      </c>
      <c r="G312" t="b">
        <v>1</v>
      </c>
      <c r="H312">
        <f>HYPERLINK("https://athena.uww.org/media/cache/person_default/uploads/images/crop/5c94cd11584f9489963941.png")</f>
        <v>0</v>
      </c>
      <c r="I312">
        <f>HYPERLINK("https://athena.uww.org/p/64407")</f>
        <v>0</v>
      </c>
    </row>
    <row r="313" spans="1:9">
      <c r="A313">
        <v>4273</v>
      </c>
      <c r="B313" t="s">
        <v>320</v>
      </c>
      <c r="C313" t="s">
        <v>1339</v>
      </c>
      <c r="D313" t="s">
        <v>1370</v>
      </c>
      <c r="E313" t="s">
        <v>1439</v>
      </c>
      <c r="F313" t="s">
        <v>1750</v>
      </c>
      <c r="G313" t="b">
        <v>1</v>
      </c>
      <c r="H313">
        <f>HYPERLINK("https://athena.uww.org/media/cache/person_default/uploads/images/referee-4273.jpg")</f>
        <v>0</v>
      </c>
      <c r="I313">
        <f>HYPERLINK("https://athena.uww.org/p/4273")</f>
        <v>0</v>
      </c>
    </row>
    <row r="314" spans="1:9">
      <c r="A314">
        <v>5170</v>
      </c>
      <c r="B314" t="s">
        <v>321</v>
      </c>
      <c r="C314" t="s">
        <v>1339</v>
      </c>
      <c r="D314" t="s">
        <v>1370</v>
      </c>
      <c r="E314" t="s">
        <v>1439</v>
      </c>
      <c r="F314" t="s">
        <v>1751</v>
      </c>
      <c r="G314" t="b">
        <v>0</v>
      </c>
      <c r="H314">
        <f>HYPERLINK("https://athena.uww.org/media/cache/person_default/uploads/images/referee-5170.jpg")</f>
        <v>0</v>
      </c>
      <c r="I314">
        <f>HYPERLINK("https://athena.uww.org/p/5170")</f>
        <v>0</v>
      </c>
    </row>
    <row r="315" spans="1:9">
      <c r="A315">
        <v>4638</v>
      </c>
      <c r="B315" t="s">
        <v>322</v>
      </c>
      <c r="C315" t="s">
        <v>1339</v>
      </c>
      <c r="D315" t="s">
        <v>1370</v>
      </c>
      <c r="E315" t="s">
        <v>1442</v>
      </c>
      <c r="F315" t="s">
        <v>1752</v>
      </c>
      <c r="G315" t="b">
        <v>1</v>
      </c>
      <c r="H315">
        <f>HYPERLINK("https://athena.uww.org/media/cache/person_default/uploads/images/crop/63bd08b3bde95789044682.png")</f>
        <v>0</v>
      </c>
      <c r="I315">
        <f>HYPERLINK("https://athena.uww.org/p/4638")</f>
        <v>0</v>
      </c>
    </row>
    <row r="316" spans="1:9">
      <c r="A316">
        <v>38137</v>
      </c>
      <c r="B316" t="s">
        <v>323</v>
      </c>
      <c r="C316" t="s">
        <v>1339</v>
      </c>
      <c r="D316" t="s">
        <v>1370</v>
      </c>
      <c r="E316" t="s">
        <v>1442</v>
      </c>
      <c r="F316" t="s">
        <v>1753</v>
      </c>
      <c r="G316" t="b">
        <v>1</v>
      </c>
      <c r="H316">
        <f>HYPERLINK("https://athena.uww.org/media/cache/person_default/uploads/images/crop/574ea749cc507.png")</f>
        <v>0</v>
      </c>
      <c r="I316">
        <f>HYPERLINK("https://athena.uww.org/p/38137")</f>
        <v>0</v>
      </c>
    </row>
    <row r="317" spans="1:9">
      <c r="A317">
        <v>64414</v>
      </c>
      <c r="B317" t="s">
        <v>324</v>
      </c>
      <c r="C317" t="s">
        <v>1339</v>
      </c>
      <c r="D317" t="s">
        <v>1370</v>
      </c>
      <c r="E317" t="s">
        <v>1442</v>
      </c>
      <c r="F317" t="s">
        <v>1754</v>
      </c>
      <c r="G317" t="b">
        <v>1</v>
      </c>
      <c r="H317">
        <f>HYPERLINK("https://athena.uww.org/media/cache/person_default/uploads/images/crop/5c989c93312f4807471445.png")</f>
        <v>0</v>
      </c>
      <c r="I317">
        <f>HYPERLINK("https://athena.uww.org/p/64414")</f>
        <v>0</v>
      </c>
    </row>
    <row r="318" spans="1:9">
      <c r="A318">
        <v>4985</v>
      </c>
      <c r="B318" t="s">
        <v>325</v>
      </c>
      <c r="C318" t="s">
        <v>1339</v>
      </c>
      <c r="D318" t="s">
        <v>1371</v>
      </c>
      <c r="E318" t="s">
        <v>1440</v>
      </c>
      <c r="F318" t="s">
        <v>1755</v>
      </c>
      <c r="G318" t="b">
        <v>1</v>
      </c>
      <c r="H318">
        <f>HYPERLINK("https://athena.uww.org/media/cache/person_default/uploads/images/crop/63cba16fd24eb675173837.png")</f>
        <v>0</v>
      </c>
      <c r="I318">
        <f>HYPERLINK("https://athena.uww.org/p/4985")</f>
        <v>0</v>
      </c>
    </row>
    <row r="319" spans="1:9">
      <c r="A319">
        <v>4510</v>
      </c>
      <c r="B319" t="s">
        <v>326</v>
      </c>
      <c r="C319" t="s">
        <v>1339</v>
      </c>
      <c r="D319" t="s">
        <v>1371</v>
      </c>
      <c r="E319" t="s">
        <v>1440</v>
      </c>
      <c r="F319" t="s">
        <v>1756</v>
      </c>
      <c r="G319" t="b">
        <v>1</v>
      </c>
      <c r="H319">
        <f>HYPERLINK("https://athena.uww.org/media/cache/person_default/uploads/images/56814563197bf.jpg")</f>
        <v>0</v>
      </c>
      <c r="I319">
        <f>HYPERLINK("https://athena.uww.org/p/4510")</f>
        <v>0</v>
      </c>
    </row>
    <row r="320" spans="1:9">
      <c r="A320">
        <v>4594</v>
      </c>
      <c r="B320" t="s">
        <v>327</v>
      </c>
      <c r="C320" t="s">
        <v>1340</v>
      </c>
      <c r="D320" t="s">
        <v>1371</v>
      </c>
      <c r="E320" t="s">
        <v>1441</v>
      </c>
      <c r="F320" t="s">
        <v>1757</v>
      </c>
      <c r="G320" t="b">
        <v>0</v>
      </c>
      <c r="H320">
        <f>HYPERLINK("https://athena.uww.org/media/cache/person_default/uploads/images/referee-4594.jpg")</f>
        <v>0</v>
      </c>
      <c r="I320">
        <f>HYPERLINK("https://athena.uww.org/p/4594")</f>
        <v>0</v>
      </c>
    </row>
    <row r="321" spans="1:9">
      <c r="A321">
        <v>4600</v>
      </c>
      <c r="B321" t="s">
        <v>328</v>
      </c>
      <c r="C321" t="s">
        <v>1339</v>
      </c>
      <c r="D321" t="s">
        <v>1371</v>
      </c>
      <c r="E321" t="s">
        <v>1441</v>
      </c>
      <c r="F321" t="s">
        <v>1758</v>
      </c>
      <c r="G321" t="b">
        <v>1</v>
      </c>
      <c r="H321">
        <f>HYPERLINK("https://athena.uww.org/media/cache/person_default/uploads/images/crop/65a6b9c1abbad628929881.png")</f>
        <v>0</v>
      </c>
      <c r="I321">
        <f>HYPERLINK("https://athena.uww.org/p/4600")</f>
        <v>0</v>
      </c>
    </row>
    <row r="322" spans="1:9">
      <c r="A322">
        <v>5280</v>
      </c>
      <c r="B322" t="s">
        <v>329</v>
      </c>
      <c r="C322" t="s">
        <v>1339</v>
      </c>
      <c r="D322" t="s">
        <v>1371</v>
      </c>
      <c r="E322" t="s">
        <v>1441</v>
      </c>
      <c r="F322" t="s">
        <v>1759</v>
      </c>
      <c r="G322" t="b">
        <v>1</v>
      </c>
      <c r="H322">
        <f>HYPERLINK("https://athena.uww.org/media/cache/person_default/uploads/images/referee-5280.jpg")</f>
        <v>0</v>
      </c>
      <c r="I322">
        <f>HYPERLINK("https://athena.uww.org/p/5280")</f>
        <v>0</v>
      </c>
    </row>
    <row r="323" spans="1:9">
      <c r="A323">
        <v>4988</v>
      </c>
      <c r="B323" t="s">
        <v>330</v>
      </c>
      <c r="C323" t="s">
        <v>1339</v>
      </c>
      <c r="D323" t="s">
        <v>1371</v>
      </c>
      <c r="E323" t="s">
        <v>1441</v>
      </c>
      <c r="F323" t="s">
        <v>1760</v>
      </c>
      <c r="G323" t="b">
        <v>1</v>
      </c>
      <c r="H323">
        <f>HYPERLINK("https://athena.uww.org/media/cache/person_default/uploads/images/referee-4988.jpg")</f>
        <v>0</v>
      </c>
      <c r="I323">
        <f>HYPERLINK("https://athena.uww.org/p/4988")</f>
        <v>0</v>
      </c>
    </row>
    <row r="324" spans="1:9">
      <c r="A324">
        <v>5491</v>
      </c>
      <c r="B324" t="s">
        <v>331</v>
      </c>
      <c r="C324" t="s">
        <v>1339</v>
      </c>
      <c r="D324" t="s">
        <v>1371</v>
      </c>
      <c r="E324" t="s">
        <v>1441</v>
      </c>
      <c r="F324" t="s">
        <v>1761</v>
      </c>
      <c r="G324" t="b">
        <v>1</v>
      </c>
      <c r="H324">
        <f>HYPERLINK("https://athena.uww.org/media/cache/person_default/uploads/images/referee-5491.jpg")</f>
        <v>0</v>
      </c>
      <c r="I324">
        <f>HYPERLINK("https://athena.uww.org/p/5491")</f>
        <v>0</v>
      </c>
    </row>
    <row r="325" spans="1:9">
      <c r="A325">
        <v>43029</v>
      </c>
      <c r="B325" t="s">
        <v>332</v>
      </c>
      <c r="C325" t="s">
        <v>1339</v>
      </c>
      <c r="D325" t="s">
        <v>1371</v>
      </c>
      <c r="E325" t="s">
        <v>1441</v>
      </c>
      <c r="F325" t="s">
        <v>1761</v>
      </c>
      <c r="G325" t="b">
        <v>1</v>
      </c>
      <c r="H325">
        <f>HYPERLINK("https://athena.uww.org/media/cache/person_default/uploads/images/crop/58abe8c99e737.png")</f>
        <v>0</v>
      </c>
      <c r="I325">
        <f>HYPERLINK("https://athena.uww.org/p/43029")</f>
        <v>0</v>
      </c>
    </row>
    <row r="326" spans="1:9">
      <c r="A326">
        <v>47639</v>
      </c>
      <c r="B326" t="s">
        <v>333</v>
      </c>
      <c r="C326" t="s">
        <v>1340</v>
      </c>
      <c r="D326" t="s">
        <v>1371</v>
      </c>
      <c r="E326" t="s">
        <v>1441</v>
      </c>
      <c r="F326" t="s">
        <v>1762</v>
      </c>
      <c r="G326" t="b">
        <v>1</v>
      </c>
      <c r="H326">
        <f>HYPERLINK("https://athena.uww.org/media/cache/person_default/uploads/images/crop/5b87fc12c6b82.png")</f>
        <v>0</v>
      </c>
      <c r="I326">
        <f>HYPERLINK("https://athena.uww.org/p/47639")</f>
        <v>0</v>
      </c>
    </row>
    <row r="327" spans="1:9">
      <c r="A327">
        <v>4986</v>
      </c>
      <c r="B327" t="s">
        <v>334</v>
      </c>
      <c r="C327" t="s">
        <v>1339</v>
      </c>
      <c r="D327" t="s">
        <v>1371</v>
      </c>
      <c r="E327" t="s">
        <v>1441</v>
      </c>
      <c r="F327" t="s">
        <v>1763</v>
      </c>
      <c r="G327" t="b">
        <v>1</v>
      </c>
      <c r="H327">
        <f>HYPERLINK("https://athena.uww.org/media/cache/person_default/uploads/images/referee-4986.jpg")</f>
        <v>0</v>
      </c>
      <c r="I327">
        <f>HYPERLINK("https://athena.uww.org/p/4986")</f>
        <v>0</v>
      </c>
    </row>
    <row r="328" spans="1:9">
      <c r="A328">
        <v>47567</v>
      </c>
      <c r="B328" t="s">
        <v>335</v>
      </c>
      <c r="C328" t="s">
        <v>1340</v>
      </c>
      <c r="D328" t="s">
        <v>1371</v>
      </c>
      <c r="E328" t="s">
        <v>1439</v>
      </c>
      <c r="F328" t="s">
        <v>1764</v>
      </c>
      <c r="G328" t="b">
        <v>1</v>
      </c>
      <c r="H328">
        <f>HYPERLINK("https://athena.uww.org/media/cache/person_default/uploads/images/crop/623c2428c3fb0226198423.png")</f>
        <v>0</v>
      </c>
      <c r="I328">
        <f>HYPERLINK("https://athena.uww.org/p/47567")</f>
        <v>0</v>
      </c>
    </row>
    <row r="329" spans="1:9">
      <c r="A329">
        <v>15041</v>
      </c>
      <c r="B329" t="s">
        <v>336</v>
      </c>
      <c r="C329" t="s">
        <v>1339</v>
      </c>
      <c r="D329" t="s">
        <v>1371</v>
      </c>
      <c r="E329" t="s">
        <v>1442</v>
      </c>
      <c r="F329" t="s">
        <v>1765</v>
      </c>
      <c r="G329" t="b">
        <v>1</v>
      </c>
      <c r="H329">
        <f>HYPERLINK("https://athena.uww.org/media/cache/person_default/uploads/images/crop/64771e050ee45004341370.png")</f>
        <v>0</v>
      </c>
      <c r="I329">
        <f>HYPERLINK("https://athena.uww.org/p/15041")</f>
        <v>0</v>
      </c>
    </row>
    <row r="330" spans="1:9">
      <c r="A330">
        <v>22133</v>
      </c>
      <c r="B330" t="s">
        <v>337</v>
      </c>
      <c r="C330" t="s">
        <v>1339</v>
      </c>
      <c r="D330" t="s">
        <v>1371</v>
      </c>
      <c r="E330" t="s">
        <v>1442</v>
      </c>
      <c r="F330" t="s">
        <v>1766</v>
      </c>
      <c r="G330" t="b">
        <v>1</v>
      </c>
      <c r="H330">
        <f>HYPERLINK("https://athena.uww.org/media/cache/person_default/uploads/images/68b18de7aaa51452785857.png")</f>
        <v>0</v>
      </c>
      <c r="I330">
        <f>HYPERLINK("https://athena.uww.org/p/22133")</f>
        <v>0</v>
      </c>
    </row>
    <row r="331" spans="1:9">
      <c r="A331">
        <v>41776</v>
      </c>
      <c r="B331" t="s">
        <v>338</v>
      </c>
      <c r="C331" t="s">
        <v>1339</v>
      </c>
      <c r="D331" t="s">
        <v>1372</v>
      </c>
      <c r="E331" t="s">
        <v>1440</v>
      </c>
      <c r="F331" t="s">
        <v>1767</v>
      </c>
      <c r="G331" t="b">
        <v>1</v>
      </c>
      <c r="H331">
        <f>HYPERLINK("https://athena.uww.org/media/cache/person_default/uploads/images/crop/63cba34954d7c100815118.png")</f>
        <v>0</v>
      </c>
      <c r="I331">
        <f>HYPERLINK("https://athena.uww.org/p/41776")</f>
        <v>0</v>
      </c>
    </row>
    <row r="332" spans="1:9">
      <c r="A332">
        <v>4572</v>
      </c>
      <c r="B332" t="s">
        <v>339</v>
      </c>
      <c r="C332" t="s">
        <v>1339</v>
      </c>
      <c r="D332" t="s">
        <v>1372</v>
      </c>
      <c r="E332" t="s">
        <v>1440</v>
      </c>
      <c r="F332" t="s">
        <v>1768</v>
      </c>
      <c r="G332" t="b">
        <v>1</v>
      </c>
      <c r="H332">
        <f>HYPERLINK("https://athena.uww.org/media/cache/person_default/uploads/images/crop/68d23e0805cc2320953311.png")</f>
        <v>0</v>
      </c>
      <c r="I332">
        <f>HYPERLINK("https://athena.uww.org/p/4572")</f>
        <v>0</v>
      </c>
    </row>
    <row r="333" spans="1:9">
      <c r="A333">
        <v>41777</v>
      </c>
      <c r="B333" t="s">
        <v>340</v>
      </c>
      <c r="C333" t="s">
        <v>1340</v>
      </c>
      <c r="D333" t="s">
        <v>1372</v>
      </c>
      <c r="E333" t="s">
        <v>1440</v>
      </c>
      <c r="F333" t="s">
        <v>1769</v>
      </c>
      <c r="G333" t="b">
        <v>1</v>
      </c>
      <c r="H333">
        <f>HYPERLINK("https://athena.uww.org/media/cache/person_default/uploads/images/crop/580f1a4d2b1f5.png")</f>
        <v>0</v>
      </c>
      <c r="I333">
        <f>HYPERLINK("https://athena.uww.org/p/41777")</f>
        <v>0</v>
      </c>
    </row>
    <row r="334" spans="1:9">
      <c r="A334">
        <v>41778</v>
      </c>
      <c r="B334" t="s">
        <v>341</v>
      </c>
      <c r="C334" t="s">
        <v>1339</v>
      </c>
      <c r="D334" t="s">
        <v>1372</v>
      </c>
      <c r="E334" t="s">
        <v>1440</v>
      </c>
      <c r="F334" t="s">
        <v>1770</v>
      </c>
      <c r="G334" t="b">
        <v>1</v>
      </c>
      <c r="H334">
        <f>HYPERLINK("https://athena.uww.org/media/cache/person_default/uploads/images/crop/63cba33a18635185885435.png")</f>
        <v>0</v>
      </c>
      <c r="I334">
        <f>HYPERLINK("https://athena.uww.org/p/41778")</f>
        <v>0</v>
      </c>
    </row>
    <row r="335" spans="1:9">
      <c r="A335">
        <v>40897</v>
      </c>
      <c r="B335" t="s">
        <v>342</v>
      </c>
      <c r="C335" t="s">
        <v>1340</v>
      </c>
      <c r="D335" t="s">
        <v>1372</v>
      </c>
      <c r="E335" t="s">
        <v>1441</v>
      </c>
      <c r="F335" t="s">
        <v>1771</v>
      </c>
      <c r="G335" t="b">
        <v>1</v>
      </c>
      <c r="H335">
        <f>HYPERLINK("https://athena.uww.org/media/cache/person_default/uploads/images/crop/6299fdff2c859415347934.png")</f>
        <v>0</v>
      </c>
      <c r="I335">
        <f>HYPERLINK("https://athena.uww.org/p/40897")</f>
        <v>0</v>
      </c>
    </row>
    <row r="336" spans="1:9">
      <c r="A336">
        <v>5100</v>
      </c>
      <c r="B336" t="s">
        <v>343</v>
      </c>
      <c r="C336" t="s">
        <v>1340</v>
      </c>
      <c r="D336" t="s">
        <v>1372</v>
      </c>
      <c r="E336" t="s">
        <v>1441</v>
      </c>
      <c r="F336" t="s">
        <v>1772</v>
      </c>
      <c r="G336" t="b">
        <v>1</v>
      </c>
      <c r="H336">
        <f>HYPERLINK("https://athena.uww.org/media/cache/person_default/uploads/images/crop/62bdaa2a197e6607324560.png")</f>
        <v>0</v>
      </c>
      <c r="I336">
        <f>HYPERLINK("https://athena.uww.org/p/5100")</f>
        <v>0</v>
      </c>
    </row>
    <row r="337" spans="1:9">
      <c r="A337">
        <v>5098</v>
      </c>
      <c r="B337" t="s">
        <v>344</v>
      </c>
      <c r="C337" t="s">
        <v>1340</v>
      </c>
      <c r="D337" t="s">
        <v>1372</v>
      </c>
      <c r="E337" t="s">
        <v>1439</v>
      </c>
      <c r="F337" t="s">
        <v>1773</v>
      </c>
      <c r="G337" t="b">
        <v>1</v>
      </c>
      <c r="H337">
        <f>HYPERLINK("https://athena.uww.org/media/cache/person_default/uploads/images/crop/65ae21c7696b6470169187.png")</f>
        <v>0</v>
      </c>
      <c r="I337">
        <f>HYPERLINK("https://athena.uww.org/p/5098")</f>
        <v>0</v>
      </c>
    </row>
    <row r="338" spans="1:9">
      <c r="A338">
        <v>4798</v>
      </c>
      <c r="B338" t="s">
        <v>345</v>
      </c>
      <c r="C338" t="s">
        <v>1339</v>
      </c>
      <c r="D338" t="s">
        <v>1372</v>
      </c>
      <c r="E338" t="s">
        <v>1439</v>
      </c>
      <c r="F338" t="s">
        <v>1774</v>
      </c>
      <c r="G338" t="b">
        <v>1</v>
      </c>
      <c r="H338">
        <f>HYPERLINK("https://athena.uww.org/media/cache/person_default/uploads/images/referee-4798.jpg")</f>
        <v>0</v>
      </c>
      <c r="I338">
        <f>HYPERLINK("https://athena.uww.org/p/4798")</f>
        <v>0</v>
      </c>
    </row>
    <row r="339" spans="1:9">
      <c r="A339">
        <v>75332</v>
      </c>
      <c r="B339" t="s">
        <v>346</v>
      </c>
      <c r="C339" t="s">
        <v>1339</v>
      </c>
      <c r="D339" t="s">
        <v>1372</v>
      </c>
      <c r="E339" t="s">
        <v>1439</v>
      </c>
      <c r="F339" t="s">
        <v>1775</v>
      </c>
      <c r="G339" t="b">
        <v>1</v>
      </c>
      <c r="H339">
        <f>HYPERLINK("https://athena.uww.org/media/cache/person_default/uploads/images/608fc19318b86772429199.JPG")</f>
        <v>0</v>
      </c>
      <c r="I339">
        <f>HYPERLINK("https://athena.uww.org/p/75332")</f>
        <v>0</v>
      </c>
    </row>
    <row r="340" spans="1:9">
      <c r="A340">
        <v>78127</v>
      </c>
      <c r="B340" t="s">
        <v>347</v>
      </c>
      <c r="C340" t="s">
        <v>1339</v>
      </c>
      <c r="D340" t="s">
        <v>1372</v>
      </c>
      <c r="E340" t="s">
        <v>1439</v>
      </c>
      <c r="F340" t="s">
        <v>1776</v>
      </c>
      <c r="G340" t="b">
        <v>1</v>
      </c>
      <c r="H340">
        <f>HYPERLINK("https://athena.uww.org/media/cache/person_default/uploads/images/crop/64ae2ef0c6677292239468.png")</f>
        <v>0</v>
      </c>
      <c r="I340">
        <f>HYPERLINK("https://athena.uww.org/p/78127")</f>
        <v>0</v>
      </c>
    </row>
    <row r="341" spans="1:9">
      <c r="A341">
        <v>41041</v>
      </c>
      <c r="B341" t="s">
        <v>348</v>
      </c>
      <c r="C341" t="s">
        <v>1339</v>
      </c>
      <c r="D341" t="s">
        <v>1372</v>
      </c>
      <c r="E341" t="s">
        <v>1439</v>
      </c>
      <c r="F341" t="s">
        <v>1777</v>
      </c>
      <c r="G341" t="b">
        <v>1</v>
      </c>
      <c r="H341">
        <f>HYPERLINK("https://athena.uww.org/media/cache/person_default/uploads/images/crop/6141d8ea3a6c7879916213.png")</f>
        <v>0</v>
      </c>
      <c r="I341">
        <f>HYPERLINK("https://athena.uww.org/p/41041")</f>
        <v>0</v>
      </c>
    </row>
    <row r="342" spans="1:9">
      <c r="A342">
        <v>78128</v>
      </c>
      <c r="B342" t="s">
        <v>349</v>
      </c>
      <c r="C342" t="s">
        <v>1339</v>
      </c>
      <c r="D342" t="s">
        <v>1372</v>
      </c>
      <c r="E342" t="s">
        <v>1442</v>
      </c>
      <c r="F342" t="s">
        <v>1778</v>
      </c>
      <c r="G342" t="b">
        <v>1</v>
      </c>
      <c r="H342">
        <f>HYPERLINK("https://athena.uww.org/media/cache/person_default/uploads/images/612cae1ad9bdc606071796.jpg")</f>
        <v>0</v>
      </c>
      <c r="I342">
        <f>HYPERLINK("https://athena.uww.org/p/78128")</f>
        <v>0</v>
      </c>
    </row>
    <row r="343" spans="1:9">
      <c r="A343">
        <v>94361</v>
      </c>
      <c r="B343" t="s">
        <v>350</v>
      </c>
      <c r="C343" t="s">
        <v>1339</v>
      </c>
      <c r="D343" t="s">
        <v>1372</v>
      </c>
      <c r="E343" t="s">
        <v>1442</v>
      </c>
      <c r="F343" t="s">
        <v>1779</v>
      </c>
      <c r="G343" t="b">
        <v>1</v>
      </c>
      <c r="H343">
        <f>HYPERLINK("https://athena.uww.org/media/cache/person_default/uploads/images/crop/64e4b647a60e0937570923.png")</f>
        <v>0</v>
      </c>
      <c r="I343">
        <f>HYPERLINK("https://athena.uww.org/p/94361")</f>
        <v>0</v>
      </c>
    </row>
    <row r="344" spans="1:9">
      <c r="A344">
        <v>12351</v>
      </c>
      <c r="B344" t="s">
        <v>351</v>
      </c>
      <c r="C344" t="s">
        <v>1339</v>
      </c>
      <c r="D344" t="s">
        <v>1372</v>
      </c>
      <c r="E344" t="s">
        <v>1442</v>
      </c>
      <c r="F344" t="s">
        <v>1780</v>
      </c>
      <c r="G344" t="b">
        <v>1</v>
      </c>
      <c r="H344">
        <f>HYPERLINK("https://athena.uww.org/media/cache/person_default/uploads/images/64d3bb57eb72e593953115.jpeg")</f>
        <v>0</v>
      </c>
      <c r="I344">
        <f>HYPERLINK("https://athena.uww.org/p/12351")</f>
        <v>0</v>
      </c>
    </row>
    <row r="345" spans="1:9">
      <c r="A345">
        <v>94468</v>
      </c>
      <c r="B345" t="s">
        <v>352</v>
      </c>
      <c r="C345" t="s">
        <v>1339</v>
      </c>
      <c r="D345" t="s">
        <v>1372</v>
      </c>
      <c r="E345" t="s">
        <v>1442</v>
      </c>
      <c r="F345" t="s">
        <v>1781</v>
      </c>
      <c r="G345" t="b">
        <v>1</v>
      </c>
      <c r="H345">
        <f>HYPERLINK("https://athena.uww.org/media/cache/person_default/uploads/images/crop/64d9ed968c9d6916957661.png")</f>
        <v>0</v>
      </c>
      <c r="I345">
        <f>HYPERLINK("https://athena.uww.org/p/94468")</f>
        <v>0</v>
      </c>
    </row>
    <row r="346" spans="1:9">
      <c r="A346">
        <v>5803</v>
      </c>
      <c r="B346" t="s">
        <v>353</v>
      </c>
      <c r="C346" t="s">
        <v>1339</v>
      </c>
      <c r="D346" t="s">
        <v>1373</v>
      </c>
      <c r="E346" t="s">
        <v>1441</v>
      </c>
      <c r="F346" t="s">
        <v>1782</v>
      </c>
      <c r="G346" t="b">
        <v>1</v>
      </c>
      <c r="H346">
        <f>HYPERLINK("https://athena.uww.org/media/cache/person_default/uploads/images/crop/67909e92a5322689871773.png")</f>
        <v>0</v>
      </c>
      <c r="I346">
        <f>HYPERLINK("https://athena.uww.org/p/5803")</f>
        <v>0</v>
      </c>
    </row>
    <row r="347" spans="1:9">
      <c r="A347">
        <v>59</v>
      </c>
      <c r="B347" t="s">
        <v>354</v>
      </c>
      <c r="C347" t="s">
        <v>1339</v>
      </c>
      <c r="D347" t="s">
        <v>1373</v>
      </c>
      <c r="E347" t="s">
        <v>1441</v>
      </c>
      <c r="F347" t="s">
        <v>1783</v>
      </c>
      <c r="G347" t="b">
        <v>1</v>
      </c>
      <c r="H347">
        <f>HYPERLINK("https://athena.uww.org/media/cache/person_default/uploads/images/crop/66b9cef10a40b410048274.png")</f>
        <v>0</v>
      </c>
      <c r="I347">
        <f>HYPERLINK("https://athena.uww.org/p/59")</f>
        <v>0</v>
      </c>
    </row>
    <row r="348" spans="1:9">
      <c r="A348">
        <v>5102</v>
      </c>
      <c r="B348" t="s">
        <v>355</v>
      </c>
      <c r="C348" t="s">
        <v>1339</v>
      </c>
      <c r="D348" t="s">
        <v>1373</v>
      </c>
      <c r="E348" t="s">
        <v>1439</v>
      </c>
      <c r="F348" t="s">
        <v>1784</v>
      </c>
      <c r="G348" t="b">
        <v>1</v>
      </c>
      <c r="H348">
        <f>HYPERLINK("https://athena.uww.org/media/cache/person_default/uploads/images/referee-5102.jpg")</f>
        <v>0</v>
      </c>
      <c r="I348">
        <f>HYPERLINK("https://athena.uww.org/p/5102")</f>
        <v>0</v>
      </c>
    </row>
    <row r="349" spans="1:9">
      <c r="A349">
        <v>2964</v>
      </c>
      <c r="B349" t="s">
        <v>356</v>
      </c>
      <c r="C349" t="s">
        <v>1339</v>
      </c>
      <c r="D349" t="s">
        <v>1373</v>
      </c>
      <c r="E349" t="s">
        <v>1442</v>
      </c>
      <c r="F349" t="s">
        <v>1785</v>
      </c>
      <c r="G349" t="b">
        <v>1</v>
      </c>
      <c r="H349">
        <f>HYPERLINK("https://athena.uww.org/media/cache/person_default/uploads/images/crop/5d0cf6507dc7d049052297.png")</f>
        <v>0</v>
      </c>
      <c r="I349">
        <f>HYPERLINK("https://athena.uww.org/p/2964")</f>
        <v>0</v>
      </c>
    </row>
    <row r="350" spans="1:9">
      <c r="A350">
        <v>5532</v>
      </c>
      <c r="B350" t="s">
        <v>357</v>
      </c>
      <c r="C350" t="s">
        <v>1339</v>
      </c>
      <c r="D350" t="s">
        <v>1374</v>
      </c>
      <c r="E350" t="s">
        <v>1440</v>
      </c>
      <c r="F350" t="s">
        <v>1786</v>
      </c>
      <c r="G350" t="b">
        <v>1</v>
      </c>
      <c r="H350">
        <f>HYPERLINK("https://athena.uww.org/media/cache/person_default/uploads/images/referee-5532.jpg")</f>
        <v>0</v>
      </c>
      <c r="I350">
        <f>HYPERLINK("https://athena.uww.org/p/5532")</f>
        <v>0</v>
      </c>
    </row>
    <row r="351" spans="1:9">
      <c r="A351">
        <v>5294</v>
      </c>
      <c r="B351" t="s">
        <v>358</v>
      </c>
      <c r="C351" t="s">
        <v>1339</v>
      </c>
      <c r="D351" t="s">
        <v>1374</v>
      </c>
      <c r="E351" t="s">
        <v>1440</v>
      </c>
      <c r="F351" t="s">
        <v>1787</v>
      </c>
      <c r="G351" t="b">
        <v>1</v>
      </c>
      <c r="H351">
        <f>HYPERLINK("https://athena.uww.org/media/cache/person_default/uploads/images/crop/63cb9dc8e3343181124975.png")</f>
        <v>0</v>
      </c>
      <c r="I351">
        <f>HYPERLINK("https://athena.uww.org/p/5294")</f>
        <v>0</v>
      </c>
    </row>
    <row r="352" spans="1:9">
      <c r="A352">
        <v>5533</v>
      </c>
      <c r="B352" t="s">
        <v>359</v>
      </c>
      <c r="C352" t="s">
        <v>1339</v>
      </c>
      <c r="D352" t="s">
        <v>1374</v>
      </c>
      <c r="E352" t="s">
        <v>1441</v>
      </c>
      <c r="F352" t="s">
        <v>1788</v>
      </c>
      <c r="G352" t="b">
        <v>1</v>
      </c>
      <c r="H352">
        <f>HYPERLINK("https://athena.uww.org/media/cache/person_default/uploads/images/referee-5533.jpg")</f>
        <v>0</v>
      </c>
      <c r="I352">
        <f>HYPERLINK("https://athena.uww.org/p/5533")</f>
        <v>0</v>
      </c>
    </row>
    <row r="353" spans="1:9">
      <c r="A353">
        <v>1305</v>
      </c>
      <c r="B353" t="s">
        <v>360</v>
      </c>
      <c r="C353" t="s">
        <v>1339</v>
      </c>
      <c r="D353" t="s">
        <v>1374</v>
      </c>
      <c r="E353" t="s">
        <v>1441</v>
      </c>
      <c r="F353" t="s">
        <v>1789</v>
      </c>
      <c r="G353" t="b">
        <v>1</v>
      </c>
      <c r="H353">
        <f>HYPERLINK("https://athena.uww.org/media/cache/person_default/uploads/images/crop/5d6f6feee92da813207692.png")</f>
        <v>0</v>
      </c>
      <c r="I353">
        <f>HYPERLINK("https://athena.uww.org/p/1305")</f>
        <v>0</v>
      </c>
    </row>
    <row r="354" spans="1:9">
      <c r="A354">
        <v>98744</v>
      </c>
      <c r="B354" t="s">
        <v>361</v>
      </c>
      <c r="C354" t="s">
        <v>1339</v>
      </c>
      <c r="D354" t="s">
        <v>1374</v>
      </c>
      <c r="E354" t="s">
        <v>1439</v>
      </c>
      <c r="F354" t="s">
        <v>1790</v>
      </c>
      <c r="G354" t="b">
        <v>1</v>
      </c>
      <c r="H354">
        <f>HYPERLINK("https://athena.uww.org/media/cache/person_default/uploads/images/crop/660fef6191866538426339.png")</f>
        <v>0</v>
      </c>
      <c r="I354">
        <f>HYPERLINK("https://athena.uww.org/p/98744")</f>
        <v>0</v>
      </c>
    </row>
    <row r="355" spans="1:9">
      <c r="A355">
        <v>4956</v>
      </c>
      <c r="B355" t="s">
        <v>362</v>
      </c>
      <c r="C355" t="s">
        <v>1339</v>
      </c>
      <c r="D355" t="s">
        <v>1374</v>
      </c>
      <c r="E355" t="s">
        <v>1439</v>
      </c>
      <c r="F355" t="s">
        <v>1791</v>
      </c>
      <c r="G355" t="b">
        <v>1</v>
      </c>
      <c r="H355">
        <f>HYPERLINK("https://athena.uww.org/media/cache/person_default/uploads/images/referee-4956.jpg")</f>
        <v>0</v>
      </c>
      <c r="I355">
        <f>HYPERLINK("https://athena.uww.org/p/4956")</f>
        <v>0</v>
      </c>
    </row>
    <row r="356" spans="1:9">
      <c r="A356">
        <v>92392</v>
      </c>
      <c r="B356" t="s">
        <v>363</v>
      </c>
      <c r="C356" t="s">
        <v>1340</v>
      </c>
      <c r="D356" t="s">
        <v>1374</v>
      </c>
      <c r="E356" t="s">
        <v>1439</v>
      </c>
      <c r="F356" t="s">
        <v>1792</v>
      </c>
      <c r="G356" t="b">
        <v>1</v>
      </c>
      <c r="H356">
        <f>HYPERLINK("https://athena.uww.org/media/cache/person_default/uploads/images/crop/6482d13a9b202512035717.png")</f>
        <v>0</v>
      </c>
      <c r="I356">
        <f>HYPERLINK("https://athena.uww.org/p/92392")</f>
        <v>0</v>
      </c>
    </row>
    <row r="357" spans="1:9">
      <c r="A357">
        <v>110646</v>
      </c>
      <c r="B357" t="s">
        <v>364</v>
      </c>
      <c r="C357" t="s">
        <v>1339</v>
      </c>
      <c r="D357" t="s">
        <v>1374</v>
      </c>
      <c r="E357" t="s">
        <v>1442</v>
      </c>
      <c r="F357" t="s">
        <v>1793</v>
      </c>
      <c r="G357" t="b">
        <v>1</v>
      </c>
      <c r="H357">
        <f>HYPERLINK("https://athena.uww.org/media/cache/person_default/uploads/images/crop/68b7e22cc6f3c338423132.png")</f>
        <v>0</v>
      </c>
      <c r="I357">
        <f>HYPERLINK("https://athena.uww.org/p/110646")</f>
        <v>0</v>
      </c>
    </row>
    <row r="358" spans="1:9">
      <c r="A358">
        <v>51562</v>
      </c>
      <c r="B358" t="s">
        <v>365</v>
      </c>
      <c r="C358" t="s">
        <v>1339</v>
      </c>
      <c r="D358" t="s">
        <v>1374</v>
      </c>
      <c r="E358" t="s">
        <v>1442</v>
      </c>
      <c r="F358" t="s">
        <v>1794</v>
      </c>
      <c r="G358" t="b">
        <v>0</v>
      </c>
      <c r="H358">
        <f>HYPERLINK("https://athena.uww.org/media/cache/person_default/uploads/images/crop/59c8ba0512cca.png")</f>
        <v>0</v>
      </c>
      <c r="I358">
        <f>HYPERLINK("https://athena.uww.org/p/51562")</f>
        <v>0</v>
      </c>
    </row>
    <row r="359" spans="1:9">
      <c r="A359">
        <v>38406</v>
      </c>
      <c r="B359" t="s">
        <v>366</v>
      </c>
      <c r="C359" t="s">
        <v>1340</v>
      </c>
      <c r="D359" t="s">
        <v>1341</v>
      </c>
      <c r="E359" t="s">
        <v>1440</v>
      </c>
      <c r="F359" t="s">
        <v>1795</v>
      </c>
      <c r="G359" t="b">
        <v>1</v>
      </c>
      <c r="H359">
        <f>HYPERLINK("https://athena.uww.org/media/cache/person_default/uploads/images/crop/691ac72b3dc0f988965081.png")</f>
        <v>0</v>
      </c>
      <c r="I359">
        <f>HYPERLINK("https://athena.uww.org/p/38406")</f>
        <v>0</v>
      </c>
    </row>
    <row r="360" spans="1:9">
      <c r="A360">
        <v>6089</v>
      </c>
      <c r="B360" t="s">
        <v>367</v>
      </c>
      <c r="C360" t="s">
        <v>1340</v>
      </c>
      <c r="D360" t="s">
        <v>1341</v>
      </c>
      <c r="E360" t="s">
        <v>1440</v>
      </c>
      <c r="F360" t="s">
        <v>1796</v>
      </c>
      <c r="G360" t="b">
        <v>1</v>
      </c>
      <c r="H360">
        <f>HYPERLINK("https://athena.uww.org/media/cache/person_default/uploads/images/crop/63cba1d6e632a427558748.png")</f>
        <v>0</v>
      </c>
      <c r="I360">
        <f>HYPERLINK("https://athena.uww.org/p/6089")</f>
        <v>0</v>
      </c>
    </row>
    <row r="361" spans="1:9">
      <c r="A361">
        <v>4042</v>
      </c>
      <c r="B361" t="s">
        <v>368</v>
      </c>
      <c r="C361" t="s">
        <v>1339</v>
      </c>
      <c r="D361" t="s">
        <v>1341</v>
      </c>
      <c r="E361" t="s">
        <v>1440</v>
      </c>
      <c r="F361" t="s">
        <v>1797</v>
      </c>
      <c r="G361" t="b">
        <v>1</v>
      </c>
      <c r="H361">
        <f>HYPERLINK("https://athena.uww.org/media/cache/person_default/uploads/images/crop/63cba1e847a79576426701.png")</f>
        <v>0</v>
      </c>
      <c r="I361">
        <f>HYPERLINK("https://athena.uww.org/p/4042")</f>
        <v>0</v>
      </c>
    </row>
    <row r="362" spans="1:9">
      <c r="A362">
        <v>43281</v>
      </c>
      <c r="B362" t="s">
        <v>369</v>
      </c>
      <c r="C362" t="s">
        <v>1339</v>
      </c>
      <c r="D362" t="s">
        <v>1341</v>
      </c>
      <c r="E362" t="s">
        <v>1441</v>
      </c>
      <c r="F362" t="s">
        <v>1798</v>
      </c>
      <c r="G362" t="b">
        <v>1</v>
      </c>
      <c r="H362">
        <f>HYPERLINK("https://athena.uww.org/media/cache/person_default/uploads/images/crop/688a33223c17e465721668.png")</f>
        <v>0</v>
      </c>
      <c r="I362">
        <f>HYPERLINK("https://athena.uww.org/p/43281")</f>
        <v>0</v>
      </c>
    </row>
    <row r="363" spans="1:9">
      <c r="A363">
        <v>4781</v>
      </c>
      <c r="B363" t="s">
        <v>370</v>
      </c>
      <c r="C363" t="s">
        <v>1339</v>
      </c>
      <c r="D363" t="s">
        <v>1341</v>
      </c>
      <c r="E363" t="s">
        <v>1441</v>
      </c>
      <c r="F363" t="s">
        <v>1799</v>
      </c>
      <c r="G363" t="b">
        <v>1</v>
      </c>
      <c r="H363">
        <f>HYPERLINK("https://athena.uww.org/media/cache/person_default/uploads/images/5658610cd4fd3.jpg")</f>
        <v>0</v>
      </c>
      <c r="I363">
        <f>HYPERLINK("https://athena.uww.org/p/4781")</f>
        <v>0</v>
      </c>
    </row>
    <row r="364" spans="1:9">
      <c r="A364">
        <v>51037</v>
      </c>
      <c r="B364" t="s">
        <v>371</v>
      </c>
      <c r="C364" t="s">
        <v>1339</v>
      </c>
      <c r="D364" t="s">
        <v>1341</v>
      </c>
      <c r="E364" t="s">
        <v>1441</v>
      </c>
      <c r="F364" t="s">
        <v>1800</v>
      </c>
      <c r="G364" t="b">
        <v>0</v>
      </c>
      <c r="H364">
        <f>HYPERLINK("https://athena.uww.org/media/cache/person_default/uploads/images/crop/59a57b6424514.png")</f>
        <v>0</v>
      </c>
      <c r="I364">
        <f>HYPERLINK("https://athena.uww.org/p/51037")</f>
        <v>0</v>
      </c>
    </row>
    <row r="365" spans="1:9">
      <c r="A365">
        <v>5268</v>
      </c>
      <c r="B365" t="s">
        <v>372</v>
      </c>
      <c r="C365" t="s">
        <v>1339</v>
      </c>
      <c r="D365" t="s">
        <v>1341</v>
      </c>
      <c r="E365" t="s">
        <v>1441</v>
      </c>
      <c r="F365" t="s">
        <v>1801</v>
      </c>
      <c r="G365" t="b">
        <v>1</v>
      </c>
      <c r="H365">
        <f>HYPERLINK("https://athena.uww.org/media/cache/person_default/uploads/images/crop/67c5565809262038737780.png")</f>
        <v>0</v>
      </c>
      <c r="I365">
        <f>HYPERLINK("https://athena.uww.org/p/5268")</f>
        <v>0</v>
      </c>
    </row>
    <row r="366" spans="1:9">
      <c r="A366">
        <v>4520</v>
      </c>
      <c r="B366" t="s">
        <v>373</v>
      </c>
      <c r="C366" t="s">
        <v>1339</v>
      </c>
      <c r="D366" t="s">
        <v>1341</v>
      </c>
      <c r="E366" t="s">
        <v>1441</v>
      </c>
      <c r="F366" t="s">
        <v>1802</v>
      </c>
      <c r="G366" t="b">
        <v>1</v>
      </c>
      <c r="H366">
        <f>HYPERLINK("https://athena.uww.org/media/cache/person_default/uploads/images/crop/67ce9d9ea06c4989753658.png")</f>
        <v>0</v>
      </c>
      <c r="I366">
        <f>HYPERLINK("https://athena.uww.org/p/4520")</f>
        <v>0</v>
      </c>
    </row>
    <row r="367" spans="1:9">
      <c r="A367">
        <v>47134</v>
      </c>
      <c r="B367" t="s">
        <v>374</v>
      </c>
      <c r="C367" t="s">
        <v>1340</v>
      </c>
      <c r="D367" t="s">
        <v>1341</v>
      </c>
      <c r="E367" t="s">
        <v>1439</v>
      </c>
      <c r="F367" t="s">
        <v>1803</v>
      </c>
      <c r="G367" t="b">
        <v>0</v>
      </c>
      <c r="H367">
        <f>HYPERLINK("https://athena.uww.org/media/cache/person_default/uploads/images/crop/5c6f405bcc1f7762720655.png")</f>
        <v>0</v>
      </c>
      <c r="I367">
        <f>HYPERLINK("https://athena.uww.org/p/47134")</f>
        <v>0</v>
      </c>
    </row>
    <row r="368" spans="1:9">
      <c r="A368">
        <v>38407</v>
      </c>
      <c r="B368" t="s">
        <v>375</v>
      </c>
      <c r="C368" t="s">
        <v>1339</v>
      </c>
      <c r="D368" t="s">
        <v>1341</v>
      </c>
      <c r="E368" t="s">
        <v>1439</v>
      </c>
      <c r="F368" t="s">
        <v>1804</v>
      </c>
      <c r="G368" t="b">
        <v>0</v>
      </c>
      <c r="H368">
        <f>HYPERLINK("https://athena.uww.org/media/cache/person_default/uploads/images/crop/5758189d58dd9.png")</f>
        <v>0</v>
      </c>
      <c r="I368">
        <f>HYPERLINK("https://athena.uww.org/p/38407")</f>
        <v>0</v>
      </c>
    </row>
    <row r="369" spans="1:9">
      <c r="A369">
        <v>74228</v>
      </c>
      <c r="B369" t="s">
        <v>376</v>
      </c>
      <c r="C369" t="s">
        <v>1339</v>
      </c>
      <c r="D369" t="s">
        <v>1341</v>
      </c>
      <c r="E369" t="s">
        <v>1439</v>
      </c>
      <c r="F369" t="s">
        <v>1805</v>
      </c>
      <c r="G369" t="b">
        <v>1</v>
      </c>
      <c r="H369">
        <f>HYPERLINK("https://athena.uww.org/media/cache/person_default/uploads/images/6062ba9c497d9340307665.jpg")</f>
        <v>0</v>
      </c>
      <c r="I369">
        <f>HYPERLINK("https://athena.uww.org/p/74228")</f>
        <v>0</v>
      </c>
    </row>
    <row r="370" spans="1:9">
      <c r="A370">
        <v>4995</v>
      </c>
      <c r="B370" t="s">
        <v>377</v>
      </c>
      <c r="C370" t="s">
        <v>1339</v>
      </c>
      <c r="D370" t="s">
        <v>1341</v>
      </c>
      <c r="E370" t="s">
        <v>1439</v>
      </c>
      <c r="F370" t="s">
        <v>1806</v>
      </c>
      <c r="G370" t="b">
        <v>1</v>
      </c>
      <c r="H370">
        <f>HYPERLINK("https://athena.uww.org/media/cache/person_default/uploads/images/56652e381f638.jpg")</f>
        <v>0</v>
      </c>
      <c r="I370">
        <f>HYPERLINK("https://athena.uww.org/p/4995")</f>
        <v>0</v>
      </c>
    </row>
    <row r="371" spans="1:9">
      <c r="A371">
        <v>4240</v>
      </c>
      <c r="B371" t="s">
        <v>378</v>
      </c>
      <c r="C371" t="s">
        <v>1339</v>
      </c>
      <c r="D371" t="s">
        <v>1341</v>
      </c>
      <c r="E371" t="s">
        <v>1439</v>
      </c>
      <c r="F371" t="s">
        <v>1807</v>
      </c>
      <c r="G371" t="b">
        <v>1</v>
      </c>
      <c r="H371">
        <f>HYPERLINK("https://athena.uww.org/media/cache/person_default/uploads/images/crop/64c9fa74614c7607144120.png")</f>
        <v>0</v>
      </c>
      <c r="I371">
        <f>HYPERLINK("https://athena.uww.org/p/4240")</f>
        <v>0</v>
      </c>
    </row>
    <row r="372" spans="1:9">
      <c r="A372">
        <v>63408</v>
      </c>
      <c r="B372" t="s">
        <v>379</v>
      </c>
      <c r="C372" t="s">
        <v>1339</v>
      </c>
      <c r="D372" t="s">
        <v>1341</v>
      </c>
      <c r="E372" t="s">
        <v>1439</v>
      </c>
      <c r="F372" t="s">
        <v>1808</v>
      </c>
      <c r="G372" t="b">
        <v>1</v>
      </c>
      <c r="H372">
        <f>HYPERLINK("https://athena.uww.org/media/cache/person_default/uploads/images/crop/5c63d7b866058577654181.png")</f>
        <v>0</v>
      </c>
      <c r="I372">
        <f>HYPERLINK("https://athena.uww.org/p/63408")</f>
        <v>0</v>
      </c>
    </row>
    <row r="373" spans="1:9">
      <c r="A373">
        <v>60</v>
      </c>
      <c r="B373" t="s">
        <v>380</v>
      </c>
      <c r="C373" t="s">
        <v>1339</v>
      </c>
      <c r="D373" t="s">
        <v>1341</v>
      </c>
      <c r="E373" t="s">
        <v>1439</v>
      </c>
      <c r="F373" t="s">
        <v>1809</v>
      </c>
      <c r="G373" t="b">
        <v>1</v>
      </c>
      <c r="H373">
        <f>HYPERLINK("https://athena.uww.org/media/cache/person_default/uploads/images/crop/5d8cb2b24c72d820450258.png")</f>
        <v>0</v>
      </c>
      <c r="I373">
        <f>HYPERLINK("https://athena.uww.org/p/60")</f>
        <v>0</v>
      </c>
    </row>
    <row r="374" spans="1:9">
      <c r="A374">
        <v>94745</v>
      </c>
      <c r="B374" t="s">
        <v>381</v>
      </c>
      <c r="C374" t="s">
        <v>1339</v>
      </c>
      <c r="D374" t="s">
        <v>1341</v>
      </c>
      <c r="E374" t="s">
        <v>1442</v>
      </c>
      <c r="F374" t="s">
        <v>1810</v>
      </c>
      <c r="G374" t="b">
        <v>1</v>
      </c>
      <c r="H374">
        <f>HYPERLINK("https://athena.uww.org/media/cache/person_default/uploads/images/64f5d8ad5380b013683783.jpg")</f>
        <v>0</v>
      </c>
      <c r="I374">
        <f>HYPERLINK("https://athena.uww.org/p/94745")</f>
        <v>0</v>
      </c>
    </row>
    <row r="375" spans="1:9">
      <c r="A375">
        <v>46438</v>
      </c>
      <c r="B375" t="s">
        <v>382</v>
      </c>
      <c r="C375" t="s">
        <v>1339</v>
      </c>
      <c r="D375" t="s">
        <v>1341</v>
      </c>
      <c r="E375" t="s">
        <v>1442</v>
      </c>
      <c r="F375" t="s">
        <v>1811</v>
      </c>
      <c r="G375" t="b">
        <v>1</v>
      </c>
      <c r="H375">
        <f>HYPERLINK("https://athena.uww.org/media/cache/person_default/uploads/images/crop/67569849dcf76350045958.png")</f>
        <v>0</v>
      </c>
      <c r="I375">
        <f>HYPERLINK("https://athena.uww.org/p/46438")</f>
        <v>0</v>
      </c>
    </row>
    <row r="376" spans="1:9">
      <c r="A376">
        <v>5296</v>
      </c>
      <c r="B376" t="s">
        <v>383</v>
      </c>
      <c r="C376" t="s">
        <v>1340</v>
      </c>
      <c r="D376" t="s">
        <v>1375</v>
      </c>
      <c r="E376" t="s">
        <v>1440</v>
      </c>
      <c r="F376" t="s">
        <v>1812</v>
      </c>
      <c r="G376" t="b">
        <v>1</v>
      </c>
      <c r="H376">
        <f>HYPERLINK("https://athena.uww.org/media/cache/person_default/uploads/images/crop/63cb9f9ed1f30006566848.png")</f>
        <v>0</v>
      </c>
      <c r="I376">
        <f>HYPERLINK("https://athena.uww.org/p/5296")</f>
        <v>0</v>
      </c>
    </row>
    <row r="377" spans="1:9">
      <c r="A377">
        <v>4508</v>
      </c>
      <c r="B377" t="s">
        <v>384</v>
      </c>
      <c r="C377" t="s">
        <v>1339</v>
      </c>
      <c r="D377" t="s">
        <v>1375</v>
      </c>
      <c r="E377" t="s">
        <v>1440</v>
      </c>
      <c r="F377" t="s">
        <v>1813</v>
      </c>
      <c r="G377" t="b">
        <v>1</v>
      </c>
      <c r="H377">
        <f>HYPERLINK("https://athena.uww.org/media/cache/person_default/uploads/images/crop/63cb9fb1501db069397592.png")</f>
        <v>0</v>
      </c>
      <c r="I377">
        <f>HYPERLINK("https://athena.uww.org/p/4508")</f>
        <v>0</v>
      </c>
    </row>
    <row r="378" spans="1:9">
      <c r="A378">
        <v>51097</v>
      </c>
      <c r="B378" t="s">
        <v>385</v>
      </c>
      <c r="C378" t="s">
        <v>1340</v>
      </c>
      <c r="D378" t="s">
        <v>1375</v>
      </c>
      <c r="E378" t="s">
        <v>1441</v>
      </c>
      <c r="F378" t="s">
        <v>1814</v>
      </c>
      <c r="G378" t="b">
        <v>1</v>
      </c>
      <c r="H378">
        <f>HYPERLINK("https://athena.uww.org/media/cache/person_default/uploads/images/crop/6508458f23612123856412.png")</f>
        <v>0</v>
      </c>
      <c r="I378">
        <f>HYPERLINK("https://athena.uww.org/p/51097")</f>
        <v>0</v>
      </c>
    </row>
    <row r="379" spans="1:9">
      <c r="A379">
        <v>4507</v>
      </c>
      <c r="B379" t="s">
        <v>386</v>
      </c>
      <c r="C379" t="s">
        <v>1339</v>
      </c>
      <c r="D379" t="s">
        <v>1375</v>
      </c>
      <c r="E379" t="s">
        <v>1441</v>
      </c>
      <c r="F379" t="s">
        <v>1815</v>
      </c>
      <c r="G379" t="b">
        <v>1</v>
      </c>
      <c r="H379">
        <f>HYPERLINK("https://athena.uww.org/media/cache/person_default/uploads/images/crop/571dc52e81308.png")</f>
        <v>0</v>
      </c>
      <c r="I379">
        <f>HYPERLINK("https://athena.uww.org/p/4507")</f>
        <v>0</v>
      </c>
    </row>
    <row r="380" spans="1:9">
      <c r="A380">
        <v>3788</v>
      </c>
      <c r="B380" t="s">
        <v>387</v>
      </c>
      <c r="C380" t="s">
        <v>1340</v>
      </c>
      <c r="D380" t="s">
        <v>1375</v>
      </c>
      <c r="E380" t="s">
        <v>1441</v>
      </c>
      <c r="F380" t="s">
        <v>1816</v>
      </c>
      <c r="G380" t="b">
        <v>1</v>
      </c>
      <c r="H380">
        <f>HYPERLINK("https://athena.uww.org/media/cache/person_default/uploads/images/referee-3788.jpg")</f>
        <v>0</v>
      </c>
      <c r="I380">
        <f>HYPERLINK("https://athena.uww.org/p/3788")</f>
        <v>0</v>
      </c>
    </row>
    <row r="381" spans="1:9">
      <c r="A381">
        <v>79284</v>
      </c>
      <c r="B381" t="s">
        <v>388</v>
      </c>
      <c r="C381" t="s">
        <v>1339</v>
      </c>
      <c r="D381" t="s">
        <v>1375</v>
      </c>
      <c r="E381" t="s">
        <v>1441</v>
      </c>
      <c r="F381" t="s">
        <v>1817</v>
      </c>
      <c r="G381" t="b">
        <v>1</v>
      </c>
      <c r="H381">
        <f>HYPERLINK("https://athena.uww.org/media/cache/person_default/uploads/images/crop/615da4e23eedf199074312.png")</f>
        <v>0</v>
      </c>
      <c r="I381">
        <f>HYPERLINK("https://athena.uww.org/p/79284")</f>
        <v>0</v>
      </c>
    </row>
    <row r="382" spans="1:9">
      <c r="A382">
        <v>4429</v>
      </c>
      <c r="B382" t="s">
        <v>389</v>
      </c>
      <c r="C382" t="s">
        <v>1339</v>
      </c>
      <c r="D382" t="s">
        <v>1375</v>
      </c>
      <c r="E382" t="s">
        <v>1442</v>
      </c>
      <c r="F382" t="s">
        <v>1818</v>
      </c>
      <c r="G382" t="b">
        <v>1</v>
      </c>
      <c r="H382">
        <f>HYPERLINK("https://athena.uww.org/media/cache/person_default/uploads/images/56ebcc4e25156.jpg")</f>
        <v>0</v>
      </c>
      <c r="I382">
        <f>HYPERLINK("https://athena.uww.org/p/4429")</f>
        <v>0</v>
      </c>
    </row>
    <row r="383" spans="1:9">
      <c r="A383">
        <v>29495</v>
      </c>
      <c r="B383" t="s">
        <v>390</v>
      </c>
      <c r="C383" t="s">
        <v>1339</v>
      </c>
      <c r="D383" t="s">
        <v>1375</v>
      </c>
      <c r="E383" t="s">
        <v>1442</v>
      </c>
      <c r="F383" t="s">
        <v>1819</v>
      </c>
      <c r="G383" t="b">
        <v>1</v>
      </c>
      <c r="H383">
        <f>HYPERLINK("https://athena.uww.org/media/cache/person_default/uploads/images/crop/680bb2cb56641934222110.png")</f>
        <v>0</v>
      </c>
      <c r="I383">
        <f>HYPERLINK("https://athena.uww.org/p/29495")</f>
        <v>0</v>
      </c>
    </row>
    <row r="384" spans="1:9">
      <c r="A384">
        <v>5410</v>
      </c>
      <c r="B384" t="s">
        <v>391</v>
      </c>
      <c r="C384" t="s">
        <v>1340</v>
      </c>
      <c r="D384" t="s">
        <v>1375</v>
      </c>
      <c r="E384" t="s">
        <v>1442</v>
      </c>
      <c r="F384" t="s">
        <v>1820</v>
      </c>
      <c r="G384" t="b">
        <v>1</v>
      </c>
      <c r="H384">
        <f>HYPERLINK("https://athena.uww.org/media/cache/person_default/uploads/images/crop/571dc5d218f2e.png")</f>
        <v>0</v>
      </c>
      <c r="I384">
        <f>HYPERLINK("https://athena.uww.org/p/5410")</f>
        <v>0</v>
      </c>
    </row>
    <row r="385" spans="1:9">
      <c r="A385">
        <v>4721</v>
      </c>
      <c r="B385" t="s">
        <v>392</v>
      </c>
      <c r="C385" t="s">
        <v>1339</v>
      </c>
      <c r="D385" t="s">
        <v>1376</v>
      </c>
      <c r="E385" t="s">
        <v>1441</v>
      </c>
      <c r="F385" t="s">
        <v>1821</v>
      </c>
      <c r="G385" t="b">
        <v>1</v>
      </c>
      <c r="H385">
        <f>HYPERLINK("https://athena.uww.org/media/cache/person_default/uploads/images/crop/570c920b4252f.png")</f>
        <v>0</v>
      </c>
      <c r="I385">
        <f>HYPERLINK("https://athena.uww.org/p/4721")</f>
        <v>0</v>
      </c>
    </row>
    <row r="386" spans="1:9">
      <c r="A386">
        <v>66633</v>
      </c>
      <c r="B386" t="s">
        <v>393</v>
      </c>
      <c r="C386" t="s">
        <v>1339</v>
      </c>
      <c r="D386" t="s">
        <v>1376</v>
      </c>
      <c r="E386" t="s">
        <v>1439</v>
      </c>
      <c r="F386" t="s">
        <v>1822</v>
      </c>
      <c r="G386" t="b">
        <v>1</v>
      </c>
      <c r="H386">
        <f>HYPERLINK("https://athena.uww.org/media/cache/person_default/uploads/images/crop/5ce6421bbc92c830069539.png")</f>
        <v>0</v>
      </c>
      <c r="I386">
        <f>HYPERLINK("https://athena.uww.org/p/66633")</f>
        <v>0</v>
      </c>
    </row>
    <row r="387" spans="1:9">
      <c r="A387">
        <v>65200</v>
      </c>
      <c r="B387" t="s">
        <v>394</v>
      </c>
      <c r="C387" t="s">
        <v>1340</v>
      </c>
      <c r="D387" t="s">
        <v>1376</v>
      </c>
      <c r="E387" t="s">
        <v>1442</v>
      </c>
      <c r="F387" t="s">
        <v>1823</v>
      </c>
      <c r="G387" t="b">
        <v>1</v>
      </c>
      <c r="H387">
        <f>HYPERLINK("https://athena.uww.org/media/cache/person_default/uploads/images/crop/68088198acd63926580454.png")</f>
        <v>0</v>
      </c>
      <c r="I387">
        <f>HYPERLINK("https://athena.uww.org/p/65200")</f>
        <v>0</v>
      </c>
    </row>
    <row r="388" spans="1:9">
      <c r="A388">
        <v>4645</v>
      </c>
      <c r="B388" t="s">
        <v>395</v>
      </c>
      <c r="C388" t="s">
        <v>1339</v>
      </c>
      <c r="D388" t="s">
        <v>1377</v>
      </c>
      <c r="E388" t="s">
        <v>1440</v>
      </c>
      <c r="F388" t="s">
        <v>1824</v>
      </c>
      <c r="G388" t="b">
        <v>1</v>
      </c>
      <c r="H388">
        <f>HYPERLINK("https://athena.uww.org/media/cache/person_default/uploads/images/crop/63cba071474f2000030692.png")</f>
        <v>0</v>
      </c>
      <c r="I388">
        <f>HYPERLINK("https://athena.uww.org/p/4645")</f>
        <v>0</v>
      </c>
    </row>
    <row r="389" spans="1:9">
      <c r="A389">
        <v>4642</v>
      </c>
      <c r="B389" t="s">
        <v>396</v>
      </c>
      <c r="C389" t="s">
        <v>1339</v>
      </c>
      <c r="D389" t="s">
        <v>1377</v>
      </c>
      <c r="E389" t="s">
        <v>1440</v>
      </c>
      <c r="F389" t="s">
        <v>1825</v>
      </c>
      <c r="G389" t="b">
        <v>1</v>
      </c>
      <c r="H389">
        <f>HYPERLINK("https://athena.uww.org/media/cache/person_default/uploads/images/crop/63cba05edb99f468585928.png")</f>
        <v>0</v>
      </c>
      <c r="I389">
        <f>HYPERLINK("https://athena.uww.org/p/4642")</f>
        <v>0</v>
      </c>
    </row>
    <row r="390" spans="1:9">
      <c r="A390">
        <v>6153</v>
      </c>
      <c r="B390" t="s">
        <v>397</v>
      </c>
      <c r="C390" t="s">
        <v>1340</v>
      </c>
      <c r="D390" t="s">
        <v>1377</v>
      </c>
      <c r="E390" t="s">
        <v>1440</v>
      </c>
      <c r="F390" t="s">
        <v>1826</v>
      </c>
      <c r="G390" t="b">
        <v>1</v>
      </c>
      <c r="H390">
        <f>HYPERLINK("https://athena.uww.org/media/cache/person_default/uploads/images/crop/5e60b51c2c263092064219.png")</f>
        <v>0</v>
      </c>
      <c r="I390">
        <f>HYPERLINK("https://athena.uww.org/p/6153")</f>
        <v>0</v>
      </c>
    </row>
    <row r="391" spans="1:9">
      <c r="A391">
        <v>26054</v>
      </c>
      <c r="B391" t="s">
        <v>398</v>
      </c>
      <c r="C391" t="s">
        <v>1339</v>
      </c>
      <c r="D391" t="s">
        <v>1377</v>
      </c>
      <c r="E391" t="s">
        <v>1441</v>
      </c>
      <c r="F391" t="s">
        <v>1827</v>
      </c>
      <c r="G391" t="b">
        <v>1</v>
      </c>
      <c r="H391">
        <f>HYPERLINK("https://athena.uww.org/media/cache/person_default/uploads/images/crop/5c5a93e9c2e57577013153.png")</f>
        <v>0</v>
      </c>
      <c r="I391">
        <f>HYPERLINK("https://athena.uww.org/p/26054")</f>
        <v>0</v>
      </c>
    </row>
    <row r="392" spans="1:9">
      <c r="A392">
        <v>4644</v>
      </c>
      <c r="B392" t="s">
        <v>399</v>
      </c>
      <c r="C392" t="s">
        <v>1339</v>
      </c>
      <c r="D392" t="s">
        <v>1377</v>
      </c>
      <c r="E392" t="s">
        <v>1441</v>
      </c>
      <c r="F392" t="s">
        <v>1828</v>
      </c>
      <c r="G392" t="b">
        <v>1</v>
      </c>
      <c r="H392">
        <f>HYPERLINK("https://athena.uww.org/media/cache/person_default/uploads/images/referee-4644.jpg")</f>
        <v>0</v>
      </c>
      <c r="I392">
        <f>HYPERLINK("https://athena.uww.org/p/4644")</f>
        <v>0</v>
      </c>
    </row>
    <row r="393" spans="1:9">
      <c r="A393">
        <v>4646</v>
      </c>
      <c r="B393" t="s">
        <v>400</v>
      </c>
      <c r="C393" t="s">
        <v>1339</v>
      </c>
      <c r="D393" t="s">
        <v>1377</v>
      </c>
      <c r="E393" t="s">
        <v>1441</v>
      </c>
      <c r="F393" t="s">
        <v>1829</v>
      </c>
      <c r="G393" t="b">
        <v>1</v>
      </c>
      <c r="H393">
        <f>HYPERLINK("https://athena.uww.org/media/cache/person_default/uploads/images/referee-4646.jpg")</f>
        <v>0</v>
      </c>
      <c r="I393">
        <f>HYPERLINK("https://athena.uww.org/p/4646")</f>
        <v>0</v>
      </c>
    </row>
    <row r="394" spans="1:9">
      <c r="A394">
        <v>8946</v>
      </c>
      <c r="B394" t="s">
        <v>401</v>
      </c>
      <c r="C394" t="s">
        <v>1339</v>
      </c>
      <c r="D394" t="s">
        <v>1377</v>
      </c>
      <c r="E394" t="s">
        <v>1441</v>
      </c>
      <c r="F394" t="s">
        <v>1830</v>
      </c>
      <c r="G394" t="b">
        <v>1</v>
      </c>
      <c r="H394">
        <f>HYPERLINK("https://athena.uww.org/media/cache/person_default/uploads/images/crop/62d92d99c1e71337044578.png")</f>
        <v>0</v>
      </c>
      <c r="I394">
        <f>HYPERLINK("https://athena.uww.org/p/8946")</f>
        <v>0</v>
      </c>
    </row>
    <row r="395" spans="1:9">
      <c r="A395">
        <v>5535</v>
      </c>
      <c r="B395" t="s">
        <v>402</v>
      </c>
      <c r="C395" t="s">
        <v>1339</v>
      </c>
      <c r="D395" t="s">
        <v>1377</v>
      </c>
      <c r="E395" t="s">
        <v>1441</v>
      </c>
      <c r="F395" t="s">
        <v>1831</v>
      </c>
      <c r="G395" t="b">
        <v>1</v>
      </c>
      <c r="H395">
        <f>HYPERLINK("https://athena.uww.org/media/cache/person_default/uploads/images/referee-5535.jpg")</f>
        <v>0</v>
      </c>
      <c r="I395">
        <f>HYPERLINK("https://athena.uww.org/p/5535")</f>
        <v>0</v>
      </c>
    </row>
    <row r="396" spans="1:9">
      <c r="A396">
        <v>41832</v>
      </c>
      <c r="B396" t="s">
        <v>403</v>
      </c>
      <c r="C396" t="s">
        <v>1340</v>
      </c>
      <c r="D396" t="s">
        <v>1377</v>
      </c>
      <c r="E396" t="s">
        <v>1441</v>
      </c>
      <c r="F396" t="s">
        <v>1832</v>
      </c>
      <c r="G396" t="b">
        <v>1</v>
      </c>
      <c r="H396">
        <f>HYPERLINK("https://athena.uww.org/media/cache/person_default/uploads/images/crop/63e1f1b258491524796876.png")</f>
        <v>0</v>
      </c>
      <c r="I396">
        <f>HYPERLINK("https://athena.uww.org/p/41832")</f>
        <v>0</v>
      </c>
    </row>
    <row r="397" spans="1:9">
      <c r="A397">
        <v>3420</v>
      </c>
      <c r="B397" t="s">
        <v>404</v>
      </c>
      <c r="C397" t="s">
        <v>1339</v>
      </c>
      <c r="D397" t="s">
        <v>1377</v>
      </c>
      <c r="E397" t="s">
        <v>1441</v>
      </c>
      <c r="F397" t="s">
        <v>1833</v>
      </c>
      <c r="G397" t="b">
        <v>1</v>
      </c>
      <c r="H397">
        <f>HYPERLINK("https://athena.uww.org/media/cache/person_default/uploads/images/crop/5bb64e5bd79ed.png")</f>
        <v>0</v>
      </c>
      <c r="I397">
        <f>HYPERLINK("https://athena.uww.org/p/3420")</f>
        <v>0</v>
      </c>
    </row>
    <row r="398" spans="1:9">
      <c r="A398">
        <v>58974</v>
      </c>
      <c r="B398" t="s">
        <v>405</v>
      </c>
      <c r="C398" t="s">
        <v>1339</v>
      </c>
      <c r="D398" t="s">
        <v>1377</v>
      </c>
      <c r="E398" t="s">
        <v>1439</v>
      </c>
      <c r="F398" t="s">
        <v>1834</v>
      </c>
      <c r="G398" t="b">
        <v>1</v>
      </c>
      <c r="H398">
        <f>HYPERLINK("https://athena.uww.org/media/cache/person_default/uploads/images/crop/5b1fd4fb8e70c.png")</f>
        <v>0</v>
      </c>
      <c r="I398">
        <f>HYPERLINK("https://athena.uww.org/p/58974")</f>
        <v>0</v>
      </c>
    </row>
    <row r="399" spans="1:9">
      <c r="A399">
        <v>29182</v>
      </c>
      <c r="B399" t="s">
        <v>406</v>
      </c>
      <c r="C399" t="s">
        <v>1339</v>
      </c>
      <c r="D399" t="s">
        <v>1377</v>
      </c>
      <c r="E399" t="s">
        <v>1439</v>
      </c>
      <c r="F399" t="s">
        <v>1835</v>
      </c>
      <c r="G399" t="b">
        <v>1</v>
      </c>
      <c r="H399">
        <f>HYPERLINK("https://athena.uww.org/media/cache/person_default/uploads/images/crop/62bdb1269506f572601889.png")</f>
        <v>0</v>
      </c>
      <c r="I399">
        <f>HYPERLINK("https://athena.uww.org/p/29182")</f>
        <v>0</v>
      </c>
    </row>
    <row r="400" spans="1:9">
      <c r="A400">
        <v>14919</v>
      </c>
      <c r="B400" t="s">
        <v>407</v>
      </c>
      <c r="C400" t="s">
        <v>1340</v>
      </c>
      <c r="D400" t="s">
        <v>1377</v>
      </c>
      <c r="E400" t="s">
        <v>1439</v>
      </c>
      <c r="F400" t="s">
        <v>1836</v>
      </c>
      <c r="G400" t="b">
        <v>1</v>
      </c>
      <c r="H400">
        <f>HYPERLINK("https://athena.uww.org/media/cache/person_default/uploads/images/2058060890001.jpg")</f>
        <v>0</v>
      </c>
      <c r="I400">
        <f>HYPERLINK("https://athena.uww.org/p/14919")</f>
        <v>0</v>
      </c>
    </row>
    <row r="401" spans="1:9">
      <c r="A401">
        <v>74045</v>
      </c>
      <c r="B401" t="s">
        <v>408</v>
      </c>
      <c r="C401" t="s">
        <v>1339</v>
      </c>
      <c r="D401" t="s">
        <v>1377</v>
      </c>
      <c r="E401" t="s">
        <v>1439</v>
      </c>
      <c r="F401" t="s">
        <v>1837</v>
      </c>
      <c r="G401" t="b">
        <v>1</v>
      </c>
      <c r="H401">
        <f>HYPERLINK("https://athena.uww.org/media/cache/person_default/uploads/images/crop/62a85b086c771092397527.png")</f>
        <v>0</v>
      </c>
      <c r="I401">
        <f>HYPERLINK("https://athena.uww.org/p/74045")</f>
        <v>0</v>
      </c>
    </row>
    <row r="402" spans="1:9">
      <c r="A402">
        <v>51567</v>
      </c>
      <c r="B402" t="s">
        <v>409</v>
      </c>
      <c r="C402" t="s">
        <v>1339</v>
      </c>
      <c r="D402" t="s">
        <v>1377</v>
      </c>
      <c r="E402" t="s">
        <v>1439</v>
      </c>
      <c r="F402" t="s">
        <v>1838</v>
      </c>
      <c r="G402" t="b">
        <v>1</v>
      </c>
      <c r="H402">
        <f>HYPERLINK("https://athena.uww.org/media/cache/person_default/uploads/images/crop/67a46f2df32e7361929610.png")</f>
        <v>0</v>
      </c>
      <c r="I402">
        <f>HYPERLINK("https://athena.uww.org/p/51567")</f>
        <v>0</v>
      </c>
    </row>
    <row r="403" spans="1:9">
      <c r="A403">
        <v>28940</v>
      </c>
      <c r="B403" t="s">
        <v>410</v>
      </c>
      <c r="C403" t="s">
        <v>1339</v>
      </c>
      <c r="D403" t="s">
        <v>1377</v>
      </c>
      <c r="E403" t="s">
        <v>1442</v>
      </c>
      <c r="F403" t="s">
        <v>1839</v>
      </c>
      <c r="G403" t="b">
        <v>1</v>
      </c>
      <c r="H403">
        <f>HYPERLINK("https://athena.uww.org/media/cache/person_default/uploads/images/crop/5a6b0d73f32aa.png")</f>
        <v>0</v>
      </c>
      <c r="I403">
        <f>HYPERLINK("https://athena.uww.org/p/28940")</f>
        <v>0</v>
      </c>
    </row>
    <row r="404" spans="1:9">
      <c r="A404">
        <v>58975</v>
      </c>
      <c r="B404" t="s">
        <v>411</v>
      </c>
      <c r="C404" t="s">
        <v>1339</v>
      </c>
      <c r="D404" t="s">
        <v>1377</v>
      </c>
      <c r="E404" t="s">
        <v>1442</v>
      </c>
      <c r="F404" t="s">
        <v>1840</v>
      </c>
      <c r="G404" t="b">
        <v>0</v>
      </c>
      <c r="H404">
        <f>HYPERLINK("https://athena.uww.org/media/cache/person_default/uploads/images/crop/5b1fd5395fc6f.png")</f>
        <v>0</v>
      </c>
      <c r="I404">
        <f>HYPERLINK("https://athena.uww.org/p/58975")</f>
        <v>0</v>
      </c>
    </row>
    <row r="405" spans="1:9">
      <c r="A405">
        <v>14452</v>
      </c>
      <c r="B405" t="s">
        <v>412</v>
      </c>
      <c r="C405" t="s">
        <v>1339</v>
      </c>
      <c r="D405" t="s">
        <v>1377</v>
      </c>
      <c r="E405" t="s">
        <v>1442</v>
      </c>
      <c r="F405" t="s">
        <v>1841</v>
      </c>
      <c r="G405" t="b">
        <v>1</v>
      </c>
      <c r="H405">
        <f>HYPERLINK("https://athena.uww.org/media/cache/person_default/uploads/images/crop/60fea71333890790784860.png")</f>
        <v>0</v>
      </c>
      <c r="I405">
        <f>HYPERLINK("https://athena.uww.org/p/14452")</f>
        <v>0</v>
      </c>
    </row>
    <row r="406" spans="1:9">
      <c r="A406">
        <v>22502</v>
      </c>
      <c r="B406" t="s">
        <v>413</v>
      </c>
      <c r="C406" t="s">
        <v>1339</v>
      </c>
      <c r="D406" t="s">
        <v>1377</v>
      </c>
      <c r="E406" t="s">
        <v>1442</v>
      </c>
      <c r="F406" t="s">
        <v>1842</v>
      </c>
      <c r="G406" t="b">
        <v>1</v>
      </c>
      <c r="H406">
        <f>HYPERLINK("https://athena.uww.org/media/cache/person_default/uploads/images/crop/5d6a26d0d69af181961717.png")</f>
        <v>0</v>
      </c>
      <c r="I406">
        <f>HYPERLINK("https://athena.uww.org/p/22502")</f>
        <v>0</v>
      </c>
    </row>
    <row r="407" spans="1:9">
      <c r="A407">
        <v>1526</v>
      </c>
      <c r="B407" t="s">
        <v>414</v>
      </c>
      <c r="C407" t="s">
        <v>1339</v>
      </c>
      <c r="D407" t="s">
        <v>1378</v>
      </c>
      <c r="E407" t="s">
        <v>1439</v>
      </c>
      <c r="F407" t="s">
        <v>1843</v>
      </c>
      <c r="G407" t="b">
        <v>1</v>
      </c>
      <c r="H407">
        <f>HYPERLINK("https://athena.uww.org/media/cache/person_default/uploads/images/68f6405f62731912794972.png")</f>
        <v>0</v>
      </c>
      <c r="I407">
        <f>HYPERLINK("https://athena.uww.org/p/1526")</f>
        <v>0</v>
      </c>
    </row>
    <row r="408" spans="1:9">
      <c r="A408">
        <v>82762</v>
      </c>
      <c r="B408" t="s">
        <v>415</v>
      </c>
      <c r="C408" t="s">
        <v>1339</v>
      </c>
      <c r="D408" t="s">
        <v>1378</v>
      </c>
      <c r="E408" t="s">
        <v>1442</v>
      </c>
      <c r="F408" t="s">
        <v>1844</v>
      </c>
      <c r="G408" t="b">
        <v>1</v>
      </c>
      <c r="H408">
        <f>HYPERLINK("https://athena.uww.org/media/cache/person_default/uploads/images/crop/6279fbca35509534022879.png")</f>
        <v>0</v>
      </c>
      <c r="I408">
        <f>HYPERLINK("https://athena.uww.org/p/82762")</f>
        <v>0</v>
      </c>
    </row>
    <row r="409" spans="1:9">
      <c r="A409">
        <v>5020</v>
      </c>
      <c r="B409" t="s">
        <v>416</v>
      </c>
      <c r="C409" t="s">
        <v>1339</v>
      </c>
      <c r="D409" t="s">
        <v>1379</v>
      </c>
      <c r="E409" t="s">
        <v>1440</v>
      </c>
      <c r="F409" t="s">
        <v>1845</v>
      </c>
      <c r="G409" t="b">
        <v>1</v>
      </c>
      <c r="H409">
        <f>HYPERLINK("https://athena.uww.org/media/cache/person_default/uploads/images/crop/63cb9b14eae39182295516.png")</f>
        <v>0</v>
      </c>
      <c r="I409">
        <f>HYPERLINK("https://athena.uww.org/p/5020")</f>
        <v>0</v>
      </c>
    </row>
    <row r="410" spans="1:9">
      <c r="A410">
        <v>4483</v>
      </c>
      <c r="B410" t="s">
        <v>417</v>
      </c>
      <c r="C410" t="s">
        <v>1339</v>
      </c>
      <c r="D410" t="s">
        <v>1379</v>
      </c>
      <c r="E410" t="s">
        <v>1440</v>
      </c>
      <c r="F410" t="s">
        <v>1846</v>
      </c>
      <c r="G410" t="b">
        <v>1</v>
      </c>
      <c r="H410">
        <f>HYPERLINK("https://athena.uww.org/media/cache/person_default/uploads/images/56b0739089653.jpg")</f>
        <v>0</v>
      </c>
      <c r="I410">
        <f>HYPERLINK("https://athena.uww.org/p/4483")</f>
        <v>0</v>
      </c>
    </row>
    <row r="411" spans="1:9">
      <c r="A411">
        <v>34</v>
      </c>
      <c r="B411" t="s">
        <v>418</v>
      </c>
      <c r="C411" t="s">
        <v>1339</v>
      </c>
      <c r="D411" t="s">
        <v>1379</v>
      </c>
      <c r="E411" t="s">
        <v>1440</v>
      </c>
      <c r="F411" t="s">
        <v>1847</v>
      </c>
      <c r="G411" t="b">
        <v>1</v>
      </c>
      <c r="H411">
        <f>HYPERLINK("https://athena.uww.org/media/cache/person_default/uploads/images/crop/5b1e1018389fc.png")</f>
        <v>0</v>
      </c>
      <c r="I411">
        <f>HYPERLINK("https://athena.uww.org/p/34")</f>
        <v>0</v>
      </c>
    </row>
    <row r="412" spans="1:9">
      <c r="A412">
        <v>5027</v>
      </c>
      <c r="B412" t="s">
        <v>419</v>
      </c>
      <c r="C412" t="s">
        <v>1339</v>
      </c>
      <c r="D412" t="s">
        <v>1379</v>
      </c>
      <c r="E412" t="s">
        <v>1441</v>
      </c>
      <c r="F412" t="s">
        <v>1848</v>
      </c>
      <c r="G412" t="b">
        <v>1</v>
      </c>
      <c r="H412">
        <f>HYPERLINK("https://athena.uww.org/media/cache/person_default/uploads/images/referee-5027.jpg")</f>
        <v>0</v>
      </c>
      <c r="I412">
        <f>HYPERLINK("https://athena.uww.org/p/5027")</f>
        <v>0</v>
      </c>
    </row>
    <row r="413" spans="1:9">
      <c r="A413">
        <v>4517</v>
      </c>
      <c r="B413" t="s">
        <v>420</v>
      </c>
      <c r="C413" t="s">
        <v>1339</v>
      </c>
      <c r="D413" t="s">
        <v>1379</v>
      </c>
      <c r="E413" t="s">
        <v>1441</v>
      </c>
      <c r="F413" t="s">
        <v>1849</v>
      </c>
      <c r="G413" t="b">
        <v>0</v>
      </c>
      <c r="H413">
        <f>HYPERLINK("https://athena.uww.org/media/cache/person_default/uploads/images/crop/63cb9b4c436e9892933826.png")</f>
        <v>0</v>
      </c>
      <c r="I413">
        <f>HYPERLINK("https://athena.uww.org/p/4517")</f>
        <v>0</v>
      </c>
    </row>
    <row r="414" spans="1:9">
      <c r="A414">
        <v>71306</v>
      </c>
      <c r="B414" t="s">
        <v>421</v>
      </c>
      <c r="C414" t="s">
        <v>1339</v>
      </c>
      <c r="D414" t="s">
        <v>1379</v>
      </c>
      <c r="E414" t="s">
        <v>1441</v>
      </c>
      <c r="F414" t="s">
        <v>1850</v>
      </c>
      <c r="G414" t="b">
        <v>1</v>
      </c>
      <c r="H414">
        <f>HYPERLINK("https://athena.uww.org/media/cache/person_default/uploads/images/5dc00eec8d420683531776.jpg")</f>
        <v>0</v>
      </c>
      <c r="I414">
        <f>HYPERLINK("https://athena.uww.org/p/71306")</f>
        <v>0</v>
      </c>
    </row>
    <row r="415" spans="1:9">
      <c r="A415">
        <v>4765</v>
      </c>
      <c r="B415" t="s">
        <v>422</v>
      </c>
      <c r="C415" t="s">
        <v>1339</v>
      </c>
      <c r="D415" t="s">
        <v>1379</v>
      </c>
      <c r="E415" t="s">
        <v>1441</v>
      </c>
      <c r="F415" t="s">
        <v>1851</v>
      </c>
      <c r="G415" t="b">
        <v>1</v>
      </c>
      <c r="H415">
        <f>HYPERLINK("https://athena.uww.org/media/cache/person_default/uploads/images/crop/61962c77f06c8409764252.png")</f>
        <v>0</v>
      </c>
      <c r="I415">
        <f>HYPERLINK("https://athena.uww.org/p/4765")</f>
        <v>0</v>
      </c>
    </row>
    <row r="416" spans="1:9">
      <c r="A416">
        <v>60522</v>
      </c>
      <c r="B416" t="s">
        <v>423</v>
      </c>
      <c r="C416" t="s">
        <v>1339</v>
      </c>
      <c r="D416" t="s">
        <v>1379</v>
      </c>
      <c r="E416" t="s">
        <v>1441</v>
      </c>
      <c r="F416" t="s">
        <v>1852</v>
      </c>
      <c r="G416" t="b">
        <v>1</v>
      </c>
      <c r="H416">
        <f>HYPERLINK("https://athena.uww.org/media/cache/person_default/uploads/images/crop/5b8f90eb22ef2.png")</f>
        <v>0</v>
      </c>
      <c r="I416">
        <f>HYPERLINK("https://athena.uww.org/p/60522")</f>
        <v>0</v>
      </c>
    </row>
    <row r="417" spans="1:9">
      <c r="A417">
        <v>11376</v>
      </c>
      <c r="B417" t="s">
        <v>424</v>
      </c>
      <c r="C417" t="s">
        <v>1340</v>
      </c>
      <c r="D417" t="s">
        <v>1379</v>
      </c>
      <c r="E417" t="s">
        <v>1439</v>
      </c>
      <c r="F417" t="s">
        <v>1853</v>
      </c>
      <c r="G417" t="b">
        <v>1</v>
      </c>
      <c r="H417">
        <f>HYPERLINK("https://athena.uww.org/media/cache/person_default/uploads/images/crop/64edea133e6d9808039747.png")</f>
        <v>0</v>
      </c>
      <c r="I417">
        <f>HYPERLINK("https://athena.uww.org/p/11376")</f>
        <v>0</v>
      </c>
    </row>
    <row r="418" spans="1:9">
      <c r="A418">
        <v>88115</v>
      </c>
      <c r="B418" t="s">
        <v>425</v>
      </c>
      <c r="C418" t="s">
        <v>1339</v>
      </c>
      <c r="D418" t="s">
        <v>1379</v>
      </c>
      <c r="E418" t="s">
        <v>1439</v>
      </c>
      <c r="F418" t="s">
        <v>1854</v>
      </c>
      <c r="G418" t="b">
        <v>1</v>
      </c>
      <c r="H418">
        <f>HYPERLINK("https://athena.uww.org/media/cache/person_default/uploads/images/crop/639323a87986d611047368.png")</f>
        <v>0</v>
      </c>
      <c r="I418">
        <f>HYPERLINK("https://athena.uww.org/p/88115")</f>
        <v>0</v>
      </c>
    </row>
    <row r="419" spans="1:9">
      <c r="A419">
        <v>5122</v>
      </c>
      <c r="B419" t="s">
        <v>426</v>
      </c>
      <c r="C419" t="s">
        <v>1339</v>
      </c>
      <c r="D419" t="s">
        <v>1379</v>
      </c>
      <c r="E419" t="s">
        <v>1439</v>
      </c>
      <c r="F419" t="s">
        <v>1855</v>
      </c>
      <c r="G419" t="b">
        <v>1</v>
      </c>
      <c r="H419">
        <f>HYPERLINK("https://athena.uww.org/media/cache/person_default/uploads/images/crop/627a300c237c7800337949.png")</f>
        <v>0</v>
      </c>
      <c r="I419">
        <f>HYPERLINK("https://athena.uww.org/p/5122")</f>
        <v>0</v>
      </c>
    </row>
    <row r="420" spans="1:9">
      <c r="A420">
        <v>88114</v>
      </c>
      <c r="B420" t="s">
        <v>427</v>
      </c>
      <c r="C420" t="s">
        <v>1339</v>
      </c>
      <c r="D420" t="s">
        <v>1379</v>
      </c>
      <c r="E420" t="s">
        <v>1439</v>
      </c>
      <c r="F420" t="s">
        <v>1856</v>
      </c>
      <c r="G420" t="b">
        <v>1</v>
      </c>
      <c r="H420">
        <f>HYPERLINK("https://athena.uww.org/media/cache/person_default/uploads/images/crop/639323510b907936423337.png")</f>
        <v>0</v>
      </c>
      <c r="I420">
        <f>HYPERLINK("https://athena.uww.org/p/88114")</f>
        <v>0</v>
      </c>
    </row>
    <row r="421" spans="1:9">
      <c r="A421">
        <v>90814</v>
      </c>
      <c r="B421" t="s">
        <v>428</v>
      </c>
      <c r="C421" t="s">
        <v>1339</v>
      </c>
      <c r="D421" t="s">
        <v>1379</v>
      </c>
      <c r="E421" t="s">
        <v>1439</v>
      </c>
      <c r="F421" t="s">
        <v>1857</v>
      </c>
      <c r="G421" t="b">
        <v>1</v>
      </c>
      <c r="H421">
        <f>HYPERLINK("https://athena.uww.org/media/cache/person_default/uploads/images/64522174ec0e0649893368.jpg")</f>
        <v>0</v>
      </c>
      <c r="I421">
        <f>HYPERLINK("https://athena.uww.org/p/90814")</f>
        <v>0</v>
      </c>
    </row>
    <row r="422" spans="1:9">
      <c r="A422">
        <v>84048</v>
      </c>
      <c r="B422" t="s">
        <v>429</v>
      </c>
      <c r="C422" t="s">
        <v>1340</v>
      </c>
      <c r="D422" t="s">
        <v>1379</v>
      </c>
      <c r="E422" t="s">
        <v>1442</v>
      </c>
      <c r="F422" t="s">
        <v>1858</v>
      </c>
      <c r="G422" t="b">
        <v>0</v>
      </c>
      <c r="H422">
        <f>HYPERLINK("https://athena.uww.org/media/cache/person_default/uploads/images/crop/6299fe8b8d831290129486.png")</f>
        <v>0</v>
      </c>
      <c r="I422">
        <f>HYPERLINK("https://athena.uww.org/p/84048")</f>
        <v>0</v>
      </c>
    </row>
    <row r="423" spans="1:9">
      <c r="A423">
        <v>102086</v>
      </c>
      <c r="B423" t="s">
        <v>430</v>
      </c>
      <c r="C423" t="s">
        <v>1339</v>
      </c>
      <c r="D423" t="s">
        <v>1379</v>
      </c>
      <c r="E423" t="s">
        <v>1442</v>
      </c>
      <c r="F423" t="s">
        <v>1859</v>
      </c>
      <c r="G423" t="b">
        <v>0</v>
      </c>
      <c r="H423">
        <f>HYPERLINK("https://athena.uww.org/media/cache/person_default/uploads/images/crop/667d6d8645499134117044.png")</f>
        <v>0</v>
      </c>
      <c r="I423">
        <f>HYPERLINK("https://athena.uww.org/p/102086")</f>
        <v>0</v>
      </c>
    </row>
    <row r="424" spans="1:9">
      <c r="A424">
        <v>5571</v>
      </c>
      <c r="B424" t="s">
        <v>431</v>
      </c>
      <c r="C424" t="s">
        <v>1339</v>
      </c>
      <c r="D424" t="s">
        <v>1379</v>
      </c>
      <c r="E424" t="s">
        <v>1442</v>
      </c>
      <c r="F424" t="s">
        <v>1860</v>
      </c>
      <c r="G424" t="b">
        <v>0</v>
      </c>
      <c r="H424">
        <f>HYPERLINK("https://athena.uww.org/media/cache/person_default/uploads/images/5d218e4951dd5499419131.jpg")</f>
        <v>0</v>
      </c>
      <c r="I424">
        <f>HYPERLINK("https://athena.uww.org/p/5571")</f>
        <v>0</v>
      </c>
    </row>
    <row r="425" spans="1:9">
      <c r="A425">
        <v>102073</v>
      </c>
      <c r="B425" t="s">
        <v>432</v>
      </c>
      <c r="C425" t="s">
        <v>1339</v>
      </c>
      <c r="D425" t="s">
        <v>1379</v>
      </c>
      <c r="E425" t="s">
        <v>1442</v>
      </c>
      <c r="F425" t="s">
        <v>1861</v>
      </c>
      <c r="G425" t="b">
        <v>0</v>
      </c>
      <c r="H425">
        <f>HYPERLINK("https://athena.uww.org/media/cache/person_default/uploads/images/crop/667bb9803b33e987871127.png")</f>
        <v>0</v>
      </c>
      <c r="I425">
        <f>HYPERLINK("https://athena.uww.org/p/102073")</f>
        <v>0</v>
      </c>
    </row>
    <row r="426" spans="1:9">
      <c r="A426">
        <v>40301</v>
      </c>
      <c r="B426" t="s">
        <v>433</v>
      </c>
      <c r="C426" t="s">
        <v>1339</v>
      </c>
      <c r="D426" t="s">
        <v>1379</v>
      </c>
      <c r="E426" t="s">
        <v>1442</v>
      </c>
      <c r="F426" t="s">
        <v>1862</v>
      </c>
      <c r="G426" t="b">
        <v>0</v>
      </c>
      <c r="H426">
        <f>HYPERLINK("https://athena.uww.org/media/cache/person_default/uploads/images/crop/635b98b5ed6e7736136931.png")</f>
        <v>0</v>
      </c>
      <c r="I426">
        <f>HYPERLINK("https://athena.uww.org/p/40301")</f>
        <v>0</v>
      </c>
    </row>
    <row r="427" spans="1:9">
      <c r="A427">
        <v>76709</v>
      </c>
      <c r="B427" t="s">
        <v>434</v>
      </c>
      <c r="C427" t="s">
        <v>1339</v>
      </c>
      <c r="D427" t="s">
        <v>1379</v>
      </c>
      <c r="E427" t="s">
        <v>1442</v>
      </c>
      <c r="F427" t="s">
        <v>1863</v>
      </c>
      <c r="G427" t="b">
        <v>0</v>
      </c>
      <c r="H427">
        <f>HYPERLINK("https://athena.uww.org/media/cache/person_default/uploads/images/crop/60d41da264798940280275.png")</f>
        <v>0</v>
      </c>
      <c r="I427">
        <f>HYPERLINK("https://athena.uww.org/p/76709")</f>
        <v>0</v>
      </c>
    </row>
    <row r="428" spans="1:9">
      <c r="A428">
        <v>67718</v>
      </c>
      <c r="B428" t="s">
        <v>435</v>
      </c>
      <c r="C428" t="s">
        <v>1339</v>
      </c>
      <c r="D428" t="s">
        <v>1379</v>
      </c>
      <c r="E428" t="s">
        <v>1442</v>
      </c>
      <c r="F428" t="s">
        <v>1864</v>
      </c>
      <c r="G428" t="b">
        <v>1</v>
      </c>
      <c r="H428">
        <f>HYPERLINK("https://athena.uww.org/media/cache/person_default/uploads/images/crop/5d2c7157d0b1b707158968.png")</f>
        <v>0</v>
      </c>
      <c r="I428">
        <f>HYPERLINK("https://athena.uww.org/p/67718")</f>
        <v>0</v>
      </c>
    </row>
    <row r="429" spans="1:9">
      <c r="A429">
        <v>104253</v>
      </c>
      <c r="B429" t="s">
        <v>436</v>
      </c>
      <c r="C429" t="s">
        <v>1339</v>
      </c>
      <c r="D429" t="s">
        <v>1379</v>
      </c>
      <c r="E429" t="s">
        <v>1442</v>
      </c>
      <c r="F429" t="s">
        <v>1865</v>
      </c>
      <c r="G429" t="b">
        <v>1</v>
      </c>
      <c r="H429">
        <f>HYPERLINK("https://athena.uww.org/media/cache/person_default/uploads/images/crop/671f40eeb2c6d957695210.png")</f>
        <v>0</v>
      </c>
      <c r="I429">
        <f>HYPERLINK("https://athena.uww.org/p/104253")</f>
        <v>0</v>
      </c>
    </row>
    <row r="430" spans="1:9">
      <c r="A430">
        <v>92913</v>
      </c>
      <c r="B430" t="s">
        <v>437</v>
      </c>
      <c r="C430" t="s">
        <v>1339</v>
      </c>
      <c r="D430" t="s">
        <v>1379</v>
      </c>
      <c r="E430" t="s">
        <v>1442</v>
      </c>
      <c r="F430" t="s">
        <v>1866</v>
      </c>
      <c r="G430" t="b">
        <v>1</v>
      </c>
      <c r="H430">
        <f>HYPERLINK("https://athena.uww.org/media/cache/person_default/uploads/images/crop/648ffbf95ef7a463596939.png")</f>
        <v>0</v>
      </c>
      <c r="I430">
        <f>HYPERLINK("https://athena.uww.org/p/92913")</f>
        <v>0</v>
      </c>
    </row>
    <row r="431" spans="1:9">
      <c r="A431">
        <v>102201</v>
      </c>
      <c r="B431" t="s">
        <v>438</v>
      </c>
      <c r="C431" t="s">
        <v>1339</v>
      </c>
      <c r="D431" t="s">
        <v>1379</v>
      </c>
      <c r="E431" t="s">
        <v>1442</v>
      </c>
      <c r="F431" t="s">
        <v>1867</v>
      </c>
      <c r="G431" t="b">
        <v>0</v>
      </c>
      <c r="H431">
        <f>HYPERLINK("https://athena.uww.org/media/cache/person_default/uploads/images/crop/667d5a0e09f73776435887.png")</f>
        <v>0</v>
      </c>
      <c r="I431">
        <f>HYPERLINK("https://athena.uww.org/p/102201")</f>
        <v>0</v>
      </c>
    </row>
    <row r="432" spans="1:9">
      <c r="A432">
        <v>71310</v>
      </c>
      <c r="B432" t="s">
        <v>439</v>
      </c>
      <c r="C432" t="s">
        <v>1340</v>
      </c>
      <c r="D432" t="s">
        <v>1379</v>
      </c>
      <c r="E432" t="s">
        <v>1442</v>
      </c>
      <c r="F432" t="s">
        <v>1868</v>
      </c>
      <c r="G432" t="b">
        <v>1</v>
      </c>
      <c r="H432">
        <f>HYPERLINK("https://athena.uww.org/media/cache/person_default/uploads/images/5dc012484cfb1728635545.jpg")</f>
        <v>0</v>
      </c>
      <c r="I432">
        <f>HYPERLINK("https://athena.uww.org/p/71310")</f>
        <v>0</v>
      </c>
    </row>
    <row r="433" spans="1:9">
      <c r="A433">
        <v>69328</v>
      </c>
      <c r="B433" t="s">
        <v>440</v>
      </c>
      <c r="C433" t="s">
        <v>1339</v>
      </c>
      <c r="D433" t="s">
        <v>1379</v>
      </c>
      <c r="E433" t="s">
        <v>1442</v>
      </c>
      <c r="F433" t="s">
        <v>1869</v>
      </c>
      <c r="G433" t="b">
        <v>0</v>
      </c>
      <c r="H433">
        <f>HYPERLINK("https://athena.uww.org/media/cache/person_default/uploads/images/5d661f770c1c4096425741.jpg")</f>
        <v>0</v>
      </c>
      <c r="I433">
        <f>HYPERLINK("https://athena.uww.org/p/69328")</f>
        <v>0</v>
      </c>
    </row>
    <row r="434" spans="1:9">
      <c r="A434">
        <v>90861</v>
      </c>
      <c r="B434" t="s">
        <v>441</v>
      </c>
      <c r="C434" t="s">
        <v>1339</v>
      </c>
      <c r="D434" t="s">
        <v>1379</v>
      </c>
      <c r="E434" t="s">
        <v>1442</v>
      </c>
      <c r="F434" t="s">
        <v>1870</v>
      </c>
      <c r="G434" t="b">
        <v>1</v>
      </c>
      <c r="H434">
        <f>HYPERLINK("https://athena.uww.org/media/cache/person_default/uploads/images/6452790db8b77372154208.jpg")</f>
        <v>0</v>
      </c>
      <c r="I434">
        <f>HYPERLINK("https://athena.uww.org/p/90861")</f>
        <v>0</v>
      </c>
    </row>
    <row r="435" spans="1:9">
      <c r="A435">
        <v>5019</v>
      </c>
      <c r="B435" t="s">
        <v>442</v>
      </c>
      <c r="C435" t="s">
        <v>1339</v>
      </c>
      <c r="D435" t="s">
        <v>1379</v>
      </c>
      <c r="E435" t="s">
        <v>1442</v>
      </c>
      <c r="F435" t="s">
        <v>1871</v>
      </c>
      <c r="G435" t="b">
        <v>1</v>
      </c>
      <c r="H435">
        <f>HYPERLINK("https://athena.uww.org/media/cache/person_default/uploads/images/referee-5019.jpg")</f>
        <v>0</v>
      </c>
      <c r="I435">
        <f>HYPERLINK("https://athena.uww.org/p/5019")</f>
        <v>0</v>
      </c>
    </row>
    <row r="436" spans="1:9">
      <c r="A436">
        <v>4767</v>
      </c>
      <c r="B436" t="s">
        <v>443</v>
      </c>
      <c r="C436" t="s">
        <v>1339</v>
      </c>
      <c r="D436" t="s">
        <v>1379</v>
      </c>
      <c r="E436" t="s">
        <v>1442</v>
      </c>
      <c r="F436" t="s">
        <v>1872</v>
      </c>
      <c r="G436" t="b">
        <v>0</v>
      </c>
      <c r="H436">
        <f>HYPERLINK("https://athena.uww.org/media/cache/person_default/uploads/images/crop/5d1b4be04c86f259539221.png")</f>
        <v>0</v>
      </c>
      <c r="I436">
        <f>HYPERLINK("https://athena.uww.org/p/4767")</f>
        <v>0</v>
      </c>
    </row>
    <row r="437" spans="1:9">
      <c r="A437">
        <v>29945</v>
      </c>
      <c r="B437" t="s">
        <v>444</v>
      </c>
      <c r="C437" t="s">
        <v>1340</v>
      </c>
      <c r="D437" t="s">
        <v>1379</v>
      </c>
      <c r="E437" t="s">
        <v>1442</v>
      </c>
      <c r="F437" t="s">
        <v>1873</v>
      </c>
      <c r="G437" t="b">
        <v>0</v>
      </c>
      <c r="H437">
        <f>HYPERLINK("https://athena.uww.org/media/cache/person_default/uploads/images/2063170889001.jpg")</f>
        <v>0</v>
      </c>
      <c r="I437">
        <f>HYPERLINK("https://athena.uww.org/p/29945")</f>
        <v>0</v>
      </c>
    </row>
    <row r="438" spans="1:9">
      <c r="A438">
        <v>102074</v>
      </c>
      <c r="B438" t="s">
        <v>445</v>
      </c>
      <c r="C438" t="s">
        <v>1339</v>
      </c>
      <c r="D438" t="s">
        <v>1379</v>
      </c>
      <c r="E438" t="s">
        <v>1442</v>
      </c>
      <c r="F438" t="s">
        <v>1874</v>
      </c>
      <c r="G438" t="b">
        <v>1</v>
      </c>
      <c r="H438">
        <f>HYPERLINK("https://athena.uww.org/media/cache/person_default/uploads/images/crop/667d5a5042bcd750290596.png")</f>
        <v>0</v>
      </c>
      <c r="I438">
        <f>HYPERLINK("https://athena.uww.org/p/102074")</f>
        <v>0</v>
      </c>
    </row>
    <row r="439" spans="1:9">
      <c r="A439">
        <v>4682</v>
      </c>
      <c r="B439" t="s">
        <v>446</v>
      </c>
      <c r="C439" t="s">
        <v>1339</v>
      </c>
      <c r="D439" t="s">
        <v>1380</v>
      </c>
      <c r="E439" t="s">
        <v>1440</v>
      </c>
      <c r="F439" t="s">
        <v>1875</v>
      </c>
      <c r="G439" t="b">
        <v>1</v>
      </c>
      <c r="H439">
        <f>HYPERLINK("https://athena.uww.org/media/cache/person_default/uploads/images/crop/63cb98ad70f2e609449697.png")</f>
        <v>0</v>
      </c>
      <c r="I439">
        <f>HYPERLINK("https://athena.uww.org/p/4682")</f>
        <v>0</v>
      </c>
    </row>
    <row r="440" spans="1:9">
      <c r="A440">
        <v>5416</v>
      </c>
      <c r="B440" t="s">
        <v>447</v>
      </c>
      <c r="C440" t="s">
        <v>1339</v>
      </c>
      <c r="D440" t="s">
        <v>1380</v>
      </c>
      <c r="E440" t="s">
        <v>1440</v>
      </c>
      <c r="F440" t="s">
        <v>1876</v>
      </c>
      <c r="G440" t="b">
        <v>1</v>
      </c>
      <c r="H440">
        <f>HYPERLINK("https://athena.uww.org/media/cache/person_default/uploads/images/crop/63cb9a99798ad164628162.png")</f>
        <v>0</v>
      </c>
      <c r="I440">
        <f>HYPERLINK("https://athena.uww.org/p/5416")</f>
        <v>0</v>
      </c>
    </row>
    <row r="441" spans="1:9">
      <c r="A441">
        <v>4734</v>
      </c>
      <c r="B441" t="s">
        <v>448</v>
      </c>
      <c r="C441" t="s">
        <v>1339</v>
      </c>
      <c r="D441" t="s">
        <v>1380</v>
      </c>
      <c r="E441" t="s">
        <v>1440</v>
      </c>
      <c r="F441" t="s">
        <v>1877</v>
      </c>
      <c r="G441" t="b">
        <v>1</v>
      </c>
      <c r="H441">
        <f>HYPERLINK("https://athena.uww.org/media/cache/person_default/uploads/images/crop/63cba18105f2d484602983.png")</f>
        <v>0</v>
      </c>
      <c r="I441">
        <f>HYPERLINK("https://athena.uww.org/p/4734")</f>
        <v>0</v>
      </c>
    </row>
    <row r="442" spans="1:9">
      <c r="A442">
        <v>5040</v>
      </c>
      <c r="B442" t="s">
        <v>449</v>
      </c>
      <c r="C442" t="s">
        <v>1339</v>
      </c>
      <c r="D442" t="s">
        <v>1380</v>
      </c>
      <c r="E442" t="s">
        <v>1440</v>
      </c>
      <c r="F442" t="s">
        <v>1878</v>
      </c>
      <c r="G442" t="b">
        <v>1</v>
      </c>
      <c r="H442">
        <f>HYPERLINK("https://athena.uww.org/media/cache/person_default/uploads/images/crop/63cb9a64eff8e599176232.png")</f>
        <v>0</v>
      </c>
      <c r="I442">
        <f>HYPERLINK("https://athena.uww.org/p/5040")</f>
        <v>0</v>
      </c>
    </row>
    <row r="443" spans="1:9">
      <c r="A443">
        <v>5259</v>
      </c>
      <c r="B443" t="s">
        <v>450</v>
      </c>
      <c r="C443" t="s">
        <v>1339</v>
      </c>
      <c r="D443" t="s">
        <v>1380</v>
      </c>
      <c r="E443" t="s">
        <v>1440</v>
      </c>
      <c r="F443" t="s">
        <v>1879</v>
      </c>
      <c r="G443" t="b">
        <v>1</v>
      </c>
      <c r="H443">
        <f>HYPERLINK("https://athena.uww.org/media/cache/person_default/uploads/images/crop/63cb9a7fc584b523030675.png")</f>
        <v>0</v>
      </c>
      <c r="I443">
        <f>HYPERLINK("https://athena.uww.org/p/5259")</f>
        <v>0</v>
      </c>
    </row>
    <row r="444" spans="1:9">
      <c r="A444">
        <v>5439</v>
      </c>
      <c r="B444" t="s">
        <v>451</v>
      </c>
      <c r="C444" t="s">
        <v>1339</v>
      </c>
      <c r="D444" t="s">
        <v>1380</v>
      </c>
      <c r="E444" t="s">
        <v>1441</v>
      </c>
      <c r="F444" t="s">
        <v>1880</v>
      </c>
      <c r="G444" t="b">
        <v>1</v>
      </c>
      <c r="H444">
        <f>HYPERLINK("https://athena.uww.org/media/cache/person_default/uploads/images/crop/5d395db207154062233953.png")</f>
        <v>0</v>
      </c>
      <c r="I444">
        <f>HYPERLINK("https://athena.uww.org/p/5439")</f>
        <v>0</v>
      </c>
    </row>
    <row r="445" spans="1:9">
      <c r="A445">
        <v>5037</v>
      </c>
      <c r="B445" t="s">
        <v>452</v>
      </c>
      <c r="C445" t="s">
        <v>1339</v>
      </c>
      <c r="D445" t="s">
        <v>1380</v>
      </c>
      <c r="E445" t="s">
        <v>1441</v>
      </c>
      <c r="F445" t="s">
        <v>1831</v>
      </c>
      <c r="G445" t="b">
        <v>1</v>
      </c>
      <c r="H445">
        <f>HYPERLINK("https://athena.uww.org/media/cache/person_default/uploads/images/crop/611b5c0b8e904855484475.png")</f>
        <v>0</v>
      </c>
      <c r="I445">
        <f>HYPERLINK("https://athena.uww.org/p/5037")</f>
        <v>0</v>
      </c>
    </row>
    <row r="446" spans="1:9">
      <c r="A446">
        <v>4739</v>
      </c>
      <c r="B446" t="s">
        <v>453</v>
      </c>
      <c r="C446" t="s">
        <v>1339</v>
      </c>
      <c r="D446" t="s">
        <v>1380</v>
      </c>
      <c r="E446" t="s">
        <v>1441</v>
      </c>
      <c r="F446" t="s">
        <v>1881</v>
      </c>
      <c r="G446" t="b">
        <v>1</v>
      </c>
      <c r="H446">
        <f>HYPERLINK("https://athena.uww.org/media/cache/person_default/uploads/images/5677a8b71e343.jpg")</f>
        <v>0</v>
      </c>
      <c r="I446">
        <f>HYPERLINK("https://athena.uww.org/p/4739")</f>
        <v>0</v>
      </c>
    </row>
    <row r="447" spans="1:9">
      <c r="A447">
        <v>4538</v>
      </c>
      <c r="B447" t="s">
        <v>454</v>
      </c>
      <c r="C447" t="s">
        <v>1339</v>
      </c>
      <c r="D447" t="s">
        <v>1380</v>
      </c>
      <c r="E447" t="s">
        <v>1441</v>
      </c>
      <c r="F447" t="s">
        <v>1882</v>
      </c>
      <c r="G447" t="b">
        <v>1</v>
      </c>
      <c r="H447">
        <f>HYPERLINK("https://athena.uww.org/media/cache/person_default/uploads/images/crop/67a8f32c5ae24252741548.png")</f>
        <v>0</v>
      </c>
      <c r="I447">
        <f>HYPERLINK("https://athena.uww.org/p/4538")</f>
        <v>0</v>
      </c>
    </row>
    <row r="448" spans="1:9">
      <c r="A448">
        <v>5575</v>
      </c>
      <c r="B448" t="s">
        <v>455</v>
      </c>
      <c r="C448" t="s">
        <v>1339</v>
      </c>
      <c r="D448" t="s">
        <v>1380</v>
      </c>
      <c r="E448" t="s">
        <v>1441</v>
      </c>
      <c r="F448" t="s">
        <v>1883</v>
      </c>
      <c r="G448" t="b">
        <v>1</v>
      </c>
      <c r="H448">
        <f>HYPERLINK("https://athena.uww.org/media/cache/person_default/uploads/images/crop/6319ec7458c74676604206.png")</f>
        <v>0</v>
      </c>
      <c r="I448">
        <f>HYPERLINK("https://athena.uww.org/p/5575")</f>
        <v>0</v>
      </c>
    </row>
    <row r="449" spans="1:9">
      <c r="A449">
        <v>66234</v>
      </c>
      <c r="B449" t="s">
        <v>456</v>
      </c>
      <c r="C449" t="s">
        <v>1339</v>
      </c>
      <c r="D449" t="s">
        <v>1380</v>
      </c>
      <c r="E449" t="s">
        <v>1441</v>
      </c>
      <c r="F449" t="s">
        <v>1884</v>
      </c>
      <c r="G449" t="b">
        <v>1</v>
      </c>
      <c r="H449">
        <f>HYPERLINK("https://athena.uww.org/media/cache/person_default/uploads/images/crop/614ad541339c3451230763.png")</f>
        <v>0</v>
      </c>
      <c r="I449">
        <f>HYPERLINK("https://athena.uww.org/p/66234")</f>
        <v>0</v>
      </c>
    </row>
    <row r="450" spans="1:9">
      <c r="A450">
        <v>42972</v>
      </c>
      <c r="B450" t="s">
        <v>457</v>
      </c>
      <c r="C450" t="s">
        <v>1339</v>
      </c>
      <c r="D450" t="s">
        <v>1380</v>
      </c>
      <c r="E450" t="s">
        <v>1441</v>
      </c>
      <c r="F450" t="s">
        <v>1885</v>
      </c>
      <c r="G450" t="b">
        <v>1</v>
      </c>
      <c r="H450">
        <f>HYPERLINK("https://athena.uww.org/media/cache/person_default/uploads/images/58a48dbdd12ae.jpg")</f>
        <v>0</v>
      </c>
      <c r="I450">
        <f>HYPERLINK("https://athena.uww.org/p/42972")</f>
        <v>0</v>
      </c>
    </row>
    <row r="451" spans="1:9">
      <c r="A451">
        <v>4735</v>
      </c>
      <c r="B451" t="s">
        <v>458</v>
      </c>
      <c r="C451" t="s">
        <v>1339</v>
      </c>
      <c r="D451" t="s">
        <v>1380</v>
      </c>
      <c r="E451" t="s">
        <v>1441</v>
      </c>
      <c r="F451" t="s">
        <v>1886</v>
      </c>
      <c r="G451" t="b">
        <v>1</v>
      </c>
      <c r="H451">
        <f>HYPERLINK("https://athena.uww.org/media/cache/person_default/uploads/images/568a211846594.jpg")</f>
        <v>0</v>
      </c>
      <c r="I451">
        <f>HYPERLINK("https://athena.uww.org/p/4735")</f>
        <v>0</v>
      </c>
    </row>
    <row r="452" spans="1:9">
      <c r="A452">
        <v>66260</v>
      </c>
      <c r="B452" t="s">
        <v>459</v>
      </c>
      <c r="C452" t="s">
        <v>1339</v>
      </c>
      <c r="D452" t="s">
        <v>1380</v>
      </c>
      <c r="E452" t="s">
        <v>1441</v>
      </c>
      <c r="F452" t="s">
        <v>1887</v>
      </c>
      <c r="G452" t="b">
        <v>1</v>
      </c>
      <c r="H452">
        <f>HYPERLINK("https://athena.uww.org/media/cache/person_default/uploads/images/crop/5ce2715a5d57b490957586.png")</f>
        <v>0</v>
      </c>
      <c r="I452">
        <f>HYPERLINK("https://athena.uww.org/p/66260")</f>
        <v>0</v>
      </c>
    </row>
    <row r="453" spans="1:9">
      <c r="A453">
        <v>4684</v>
      </c>
      <c r="B453" t="s">
        <v>460</v>
      </c>
      <c r="C453" t="s">
        <v>1339</v>
      </c>
      <c r="D453" t="s">
        <v>1380</v>
      </c>
      <c r="E453" t="s">
        <v>1441</v>
      </c>
      <c r="F453" t="s">
        <v>1888</v>
      </c>
      <c r="G453" t="b">
        <v>1</v>
      </c>
      <c r="H453">
        <f>HYPERLINK("https://athena.uww.org/media/cache/person_default/uploads/images/crop/5c24a13a5897d532307153.png")</f>
        <v>0</v>
      </c>
      <c r="I453">
        <f>HYPERLINK("https://athena.uww.org/p/4684")</f>
        <v>0</v>
      </c>
    </row>
    <row r="454" spans="1:9">
      <c r="A454">
        <v>43995</v>
      </c>
      <c r="B454" t="s">
        <v>461</v>
      </c>
      <c r="C454" t="s">
        <v>1339</v>
      </c>
      <c r="D454" t="s">
        <v>1380</v>
      </c>
      <c r="E454" t="s">
        <v>1441</v>
      </c>
      <c r="F454" t="s">
        <v>1889</v>
      </c>
      <c r="G454" t="b">
        <v>1</v>
      </c>
      <c r="H454">
        <f>HYPERLINK("https://athena.uww.org/media/cache/person_default/uploads/images/crop/59c371cfbd7cc.png")</f>
        <v>0</v>
      </c>
      <c r="I454">
        <f>HYPERLINK("https://athena.uww.org/p/43995")</f>
        <v>0</v>
      </c>
    </row>
    <row r="455" spans="1:9">
      <c r="A455">
        <v>5508</v>
      </c>
      <c r="B455" t="s">
        <v>462</v>
      </c>
      <c r="C455" t="s">
        <v>1339</v>
      </c>
      <c r="D455" t="s">
        <v>1380</v>
      </c>
      <c r="E455" t="s">
        <v>1441</v>
      </c>
      <c r="F455" t="s">
        <v>1890</v>
      </c>
      <c r="G455" t="b">
        <v>1</v>
      </c>
      <c r="H455">
        <f>HYPERLINK("https://athena.uww.org/media/cache/person_default/uploads/images/crop/570c91f8eaf8b.png")</f>
        <v>0</v>
      </c>
      <c r="I455">
        <f>HYPERLINK("https://athena.uww.org/p/5508")</f>
        <v>0</v>
      </c>
    </row>
    <row r="456" spans="1:9">
      <c r="A456">
        <v>5507</v>
      </c>
      <c r="B456" t="s">
        <v>463</v>
      </c>
      <c r="C456" t="s">
        <v>1339</v>
      </c>
      <c r="D456" t="s">
        <v>1380</v>
      </c>
      <c r="E456" t="s">
        <v>1441</v>
      </c>
      <c r="F456" t="s">
        <v>1891</v>
      </c>
      <c r="G456" t="b">
        <v>1</v>
      </c>
      <c r="H456">
        <f>HYPERLINK("https://athena.uww.org/media/cache/person_default/uploads/images/referee-5507.jpg")</f>
        <v>0</v>
      </c>
      <c r="I456">
        <f>HYPERLINK("https://athena.uww.org/p/5507")</f>
        <v>0</v>
      </c>
    </row>
    <row r="457" spans="1:9">
      <c r="A457">
        <v>59578</v>
      </c>
      <c r="B457" t="s">
        <v>464</v>
      </c>
      <c r="C457" t="s">
        <v>1339</v>
      </c>
      <c r="D457" t="s">
        <v>1380</v>
      </c>
      <c r="E457" t="s">
        <v>1441</v>
      </c>
      <c r="F457" t="s">
        <v>1892</v>
      </c>
      <c r="G457" t="b">
        <v>1</v>
      </c>
      <c r="H457">
        <f>HYPERLINK("https://athena.uww.org/media/cache/person_default/uploads/images/crop/5b74093226a15.png")</f>
        <v>0</v>
      </c>
      <c r="I457">
        <f>HYPERLINK("https://athena.uww.org/p/59578")</f>
        <v>0</v>
      </c>
    </row>
    <row r="458" spans="1:9">
      <c r="A458">
        <v>4622</v>
      </c>
      <c r="B458" t="s">
        <v>465</v>
      </c>
      <c r="C458" t="s">
        <v>1339</v>
      </c>
      <c r="D458" t="s">
        <v>1380</v>
      </c>
      <c r="E458" t="s">
        <v>1441</v>
      </c>
      <c r="F458" t="s">
        <v>1893</v>
      </c>
      <c r="G458" t="b">
        <v>1</v>
      </c>
      <c r="H458">
        <f>HYPERLINK("https://athena.uww.org/media/cache/person_default/uploads/images/567aa008de75a.jpg")</f>
        <v>0</v>
      </c>
      <c r="I458">
        <f>HYPERLINK("https://athena.uww.org/p/4622")</f>
        <v>0</v>
      </c>
    </row>
    <row r="459" spans="1:9">
      <c r="A459">
        <v>5576</v>
      </c>
      <c r="B459" t="s">
        <v>466</v>
      </c>
      <c r="C459" t="s">
        <v>1339</v>
      </c>
      <c r="D459" t="s">
        <v>1380</v>
      </c>
      <c r="E459" t="s">
        <v>1441</v>
      </c>
      <c r="F459" t="s">
        <v>1894</v>
      </c>
      <c r="G459" t="b">
        <v>0</v>
      </c>
      <c r="H459">
        <f>HYPERLINK("https://athena.uww.org/media/cache/person_default/uploads/images/referee-5576.jpg")</f>
        <v>0</v>
      </c>
      <c r="I459">
        <f>HYPERLINK("https://athena.uww.org/p/5576")</f>
        <v>0</v>
      </c>
    </row>
    <row r="460" spans="1:9">
      <c r="A460">
        <v>5556</v>
      </c>
      <c r="B460" t="s">
        <v>467</v>
      </c>
      <c r="C460" t="s">
        <v>1339</v>
      </c>
      <c r="D460" t="s">
        <v>1380</v>
      </c>
      <c r="E460" t="s">
        <v>1441</v>
      </c>
      <c r="F460" t="s">
        <v>1895</v>
      </c>
      <c r="G460" t="b">
        <v>1</v>
      </c>
      <c r="H460">
        <f>HYPERLINK("https://athena.uww.org/media/cache/person_default/uploads/images/crop/66d6ad18353cc990266898.png")</f>
        <v>0</v>
      </c>
      <c r="I460">
        <f>HYPERLINK("https://athena.uww.org/p/5556")</f>
        <v>0</v>
      </c>
    </row>
    <row r="461" spans="1:9">
      <c r="A461">
        <v>5441</v>
      </c>
      <c r="B461" t="s">
        <v>468</v>
      </c>
      <c r="C461" t="s">
        <v>1339</v>
      </c>
      <c r="D461" t="s">
        <v>1380</v>
      </c>
      <c r="E461" t="s">
        <v>1441</v>
      </c>
      <c r="F461" t="s">
        <v>1896</v>
      </c>
      <c r="G461" t="b">
        <v>1</v>
      </c>
      <c r="H461">
        <f>HYPERLINK("https://athena.uww.org/media/cache/person_default/uploads/images/568a2e7e9a5a3.jpg")</f>
        <v>0</v>
      </c>
      <c r="I461">
        <f>HYPERLINK("https://athena.uww.org/p/5441")</f>
        <v>0</v>
      </c>
    </row>
    <row r="462" spans="1:9">
      <c r="A462">
        <v>5511</v>
      </c>
      <c r="B462" t="s">
        <v>469</v>
      </c>
      <c r="C462" t="s">
        <v>1339</v>
      </c>
      <c r="D462" t="s">
        <v>1380</v>
      </c>
      <c r="E462" t="s">
        <v>1441</v>
      </c>
      <c r="F462" t="s">
        <v>1897</v>
      </c>
      <c r="G462" t="b">
        <v>1</v>
      </c>
      <c r="H462">
        <f>HYPERLINK("https://athena.uww.org/media/cache/person_default/uploads/images/crop/68638ab583198027200596.png")</f>
        <v>0</v>
      </c>
      <c r="I462">
        <f>HYPERLINK("https://athena.uww.org/p/5511")</f>
        <v>0</v>
      </c>
    </row>
    <row r="463" spans="1:9">
      <c r="A463">
        <v>5297</v>
      </c>
      <c r="B463" t="s">
        <v>470</v>
      </c>
      <c r="C463" t="s">
        <v>1339</v>
      </c>
      <c r="D463" t="s">
        <v>1380</v>
      </c>
      <c r="E463" t="s">
        <v>1441</v>
      </c>
      <c r="F463" t="s">
        <v>1898</v>
      </c>
      <c r="G463" t="b">
        <v>1</v>
      </c>
      <c r="H463">
        <f>HYPERLINK("https://athena.uww.org/media/cache/person_default/uploads/images/600fd58ea0612833643980.jpg")</f>
        <v>0</v>
      </c>
      <c r="I463">
        <f>HYPERLINK("https://athena.uww.org/p/5297")</f>
        <v>0</v>
      </c>
    </row>
    <row r="464" spans="1:9">
      <c r="A464">
        <v>4541</v>
      </c>
      <c r="B464" t="s">
        <v>471</v>
      </c>
      <c r="C464" t="s">
        <v>1339</v>
      </c>
      <c r="D464" t="s">
        <v>1380</v>
      </c>
      <c r="E464" t="s">
        <v>1441</v>
      </c>
      <c r="F464" t="s">
        <v>1899</v>
      </c>
      <c r="G464" t="b">
        <v>1</v>
      </c>
      <c r="H464">
        <f>HYPERLINK("https://athena.uww.org/media/cache/person_default/uploads/images/56839712d0833.jpg")</f>
        <v>0</v>
      </c>
      <c r="I464">
        <f>HYPERLINK("https://athena.uww.org/p/4541")</f>
        <v>0</v>
      </c>
    </row>
    <row r="465" spans="1:9">
      <c r="A465">
        <v>5505</v>
      </c>
      <c r="B465" t="s">
        <v>472</v>
      </c>
      <c r="C465" t="s">
        <v>1339</v>
      </c>
      <c r="D465" t="s">
        <v>1380</v>
      </c>
      <c r="E465" t="s">
        <v>1441</v>
      </c>
      <c r="F465" t="s">
        <v>1900</v>
      </c>
      <c r="G465" t="b">
        <v>0</v>
      </c>
      <c r="H465">
        <f>HYPERLINK("https://athena.uww.org/media/cache/person_default/uploads/images/referee-5505.jpg")</f>
        <v>0</v>
      </c>
      <c r="I465">
        <f>HYPERLINK("https://athena.uww.org/p/5505")</f>
        <v>0</v>
      </c>
    </row>
    <row r="466" spans="1:9">
      <c r="A466">
        <v>4738</v>
      </c>
      <c r="B466" t="s">
        <v>473</v>
      </c>
      <c r="C466" t="s">
        <v>1339</v>
      </c>
      <c r="D466" t="s">
        <v>1380</v>
      </c>
      <c r="E466" t="s">
        <v>1441</v>
      </c>
      <c r="F466" t="s">
        <v>1901</v>
      </c>
      <c r="G466" t="b">
        <v>1</v>
      </c>
      <c r="H466">
        <f>HYPERLINK("https://athena.uww.org/media/cache/person_default/uploads/images/referee-4738.jpg")</f>
        <v>0</v>
      </c>
      <c r="I466">
        <f>HYPERLINK("https://athena.uww.org/p/4738")</f>
        <v>0</v>
      </c>
    </row>
    <row r="467" spans="1:9">
      <c r="A467">
        <v>4740</v>
      </c>
      <c r="B467" t="s">
        <v>474</v>
      </c>
      <c r="C467" t="s">
        <v>1339</v>
      </c>
      <c r="D467" t="s">
        <v>1380</v>
      </c>
      <c r="E467" t="s">
        <v>1441</v>
      </c>
      <c r="F467" t="s">
        <v>1902</v>
      </c>
      <c r="G467" t="b">
        <v>1</v>
      </c>
      <c r="H467">
        <f>HYPERLINK("https://athena.uww.org/media/cache/person_default/uploads/images/56814ac65a253.jpg")</f>
        <v>0</v>
      </c>
      <c r="I467">
        <f>HYPERLINK("https://athena.uww.org/p/4740")</f>
        <v>0</v>
      </c>
    </row>
    <row r="468" spans="1:9">
      <c r="A468">
        <v>4208</v>
      </c>
      <c r="B468" t="s">
        <v>475</v>
      </c>
      <c r="C468" t="s">
        <v>1339</v>
      </c>
      <c r="D468" t="s">
        <v>1380</v>
      </c>
      <c r="E468" t="s">
        <v>1441</v>
      </c>
      <c r="F468" t="s">
        <v>1903</v>
      </c>
      <c r="G468" t="b">
        <v>1</v>
      </c>
      <c r="H468">
        <f>HYPERLINK("https://athena.uww.org/media/cache/person_default/uploads/images/60d7fd841440a186487911.jpeg")</f>
        <v>0</v>
      </c>
      <c r="I468">
        <f>HYPERLINK("https://athena.uww.org/p/4208")</f>
        <v>0</v>
      </c>
    </row>
    <row r="469" spans="1:9">
      <c r="A469">
        <v>5256</v>
      </c>
      <c r="B469" t="s">
        <v>476</v>
      </c>
      <c r="C469" t="s">
        <v>1339</v>
      </c>
      <c r="D469" t="s">
        <v>1380</v>
      </c>
      <c r="E469" t="s">
        <v>1441</v>
      </c>
      <c r="F469" t="s">
        <v>1904</v>
      </c>
      <c r="G469" t="b">
        <v>1</v>
      </c>
      <c r="H469">
        <f>HYPERLINK("https://athena.uww.org/media/cache/person_default/uploads/images/referee-5256.jpg")</f>
        <v>0</v>
      </c>
      <c r="I469">
        <f>HYPERLINK("https://athena.uww.org/p/5256")</f>
        <v>0</v>
      </c>
    </row>
    <row r="470" spans="1:9">
      <c r="A470">
        <v>5044</v>
      </c>
      <c r="B470" t="s">
        <v>477</v>
      </c>
      <c r="C470" t="s">
        <v>1339</v>
      </c>
      <c r="D470" t="s">
        <v>1380</v>
      </c>
      <c r="E470" t="s">
        <v>1441</v>
      </c>
      <c r="F470" t="s">
        <v>1905</v>
      </c>
      <c r="G470" t="b">
        <v>1</v>
      </c>
      <c r="H470">
        <f>HYPERLINK("https://athena.uww.org/media/cache/person_default/uploads/images/crop/60d99ce460285496264647.png")</f>
        <v>0</v>
      </c>
      <c r="I470">
        <f>HYPERLINK("https://athena.uww.org/p/5044")</f>
        <v>0</v>
      </c>
    </row>
    <row r="471" spans="1:9">
      <c r="A471">
        <v>55423</v>
      </c>
      <c r="B471" t="s">
        <v>478</v>
      </c>
      <c r="C471" t="s">
        <v>1339</v>
      </c>
      <c r="D471" t="s">
        <v>1380</v>
      </c>
      <c r="E471" t="s">
        <v>1441</v>
      </c>
      <c r="F471" t="s">
        <v>1906</v>
      </c>
      <c r="G471" t="b">
        <v>1</v>
      </c>
      <c r="H471">
        <f>HYPERLINK("https://athena.uww.org/media/cache/person_default/uploads/images/crop/5b1e116ad0e44.png")</f>
        <v>0</v>
      </c>
      <c r="I471">
        <f>HYPERLINK("https://athena.uww.org/p/55423")</f>
        <v>0</v>
      </c>
    </row>
    <row r="472" spans="1:9">
      <c r="A472">
        <v>66999</v>
      </c>
      <c r="B472" t="s">
        <v>479</v>
      </c>
      <c r="C472" t="s">
        <v>1339</v>
      </c>
      <c r="D472" t="s">
        <v>1380</v>
      </c>
      <c r="E472" t="s">
        <v>1441</v>
      </c>
      <c r="F472" t="s">
        <v>1907</v>
      </c>
      <c r="G472" t="b">
        <v>1</v>
      </c>
      <c r="H472">
        <f>HYPERLINK("https://athena.uww.org/media/cache/person_default/uploads/images/crop/5cf25fff6a964924939866.png")</f>
        <v>0</v>
      </c>
      <c r="I472">
        <f>HYPERLINK("https://athena.uww.org/p/66999")</f>
        <v>0</v>
      </c>
    </row>
    <row r="473" spans="1:9">
      <c r="A473">
        <v>5258</v>
      </c>
      <c r="B473" t="s">
        <v>480</v>
      </c>
      <c r="C473" t="s">
        <v>1339</v>
      </c>
      <c r="D473" t="s">
        <v>1380</v>
      </c>
      <c r="E473" t="s">
        <v>1441</v>
      </c>
      <c r="F473" t="s">
        <v>1908</v>
      </c>
      <c r="G473" t="b">
        <v>1</v>
      </c>
      <c r="H473">
        <f>HYPERLINK("https://athena.uww.org/media/cache/person_default/uploads/images/referee-5258.jpg")</f>
        <v>0</v>
      </c>
      <c r="I473">
        <f>HYPERLINK("https://athena.uww.org/p/5258")</f>
        <v>0</v>
      </c>
    </row>
    <row r="474" spans="1:9">
      <c r="A474">
        <v>5299</v>
      </c>
      <c r="B474" t="s">
        <v>481</v>
      </c>
      <c r="C474" t="s">
        <v>1339</v>
      </c>
      <c r="D474" t="s">
        <v>1380</v>
      </c>
      <c r="E474" t="s">
        <v>1441</v>
      </c>
      <c r="F474" t="s">
        <v>1909</v>
      </c>
      <c r="G474" t="b">
        <v>1</v>
      </c>
      <c r="H474">
        <f>HYPERLINK("https://athena.uww.org/media/cache/person_default/uploads/images/referee-5299.jpg")</f>
        <v>0</v>
      </c>
      <c r="I474">
        <f>HYPERLINK("https://athena.uww.org/p/5299")</f>
        <v>0</v>
      </c>
    </row>
    <row r="475" spans="1:9">
      <c r="A475">
        <v>66440</v>
      </c>
      <c r="B475" t="s">
        <v>482</v>
      </c>
      <c r="C475" t="s">
        <v>1339</v>
      </c>
      <c r="D475" t="s">
        <v>1380</v>
      </c>
      <c r="E475" t="s">
        <v>1441</v>
      </c>
      <c r="F475" t="s">
        <v>1910</v>
      </c>
      <c r="G475" t="b">
        <v>1</v>
      </c>
      <c r="H475">
        <f>HYPERLINK("https://athena.uww.org/media/cache/person_default/uploads/images/5cd8008dbf91e306826353.jpeg")</f>
        <v>0</v>
      </c>
      <c r="I475">
        <f>HYPERLINK("https://athena.uww.org/p/66440")</f>
        <v>0</v>
      </c>
    </row>
    <row r="476" spans="1:9">
      <c r="A476">
        <v>5046</v>
      </c>
      <c r="B476" t="s">
        <v>483</v>
      </c>
      <c r="C476" t="s">
        <v>1339</v>
      </c>
      <c r="D476" t="s">
        <v>1380</v>
      </c>
      <c r="E476" t="s">
        <v>1441</v>
      </c>
      <c r="F476" t="s">
        <v>1911</v>
      </c>
      <c r="G476" t="b">
        <v>1</v>
      </c>
      <c r="H476">
        <f>HYPERLINK("https://athena.uww.org/media/cache/person_default/uploads/images/referee-5046.jpg")</f>
        <v>0</v>
      </c>
      <c r="I476">
        <f>HYPERLINK("https://athena.uww.org/p/5046")</f>
        <v>0</v>
      </c>
    </row>
    <row r="477" spans="1:9">
      <c r="A477">
        <v>4737</v>
      </c>
      <c r="B477" t="s">
        <v>484</v>
      </c>
      <c r="C477" t="s">
        <v>1339</v>
      </c>
      <c r="D477" t="s">
        <v>1380</v>
      </c>
      <c r="E477" t="s">
        <v>1441</v>
      </c>
      <c r="F477" t="s">
        <v>1912</v>
      </c>
      <c r="G477" t="b">
        <v>1</v>
      </c>
      <c r="H477">
        <f>HYPERLINK("https://athena.uww.org/media/cache/person_default/uploads/images/crop/5d2c7101c5b18946021056.png")</f>
        <v>0</v>
      </c>
      <c r="I477">
        <f>HYPERLINK("https://athena.uww.org/p/4737")</f>
        <v>0</v>
      </c>
    </row>
    <row r="478" spans="1:9">
      <c r="A478">
        <v>55212</v>
      </c>
      <c r="B478" t="s">
        <v>485</v>
      </c>
      <c r="C478" t="s">
        <v>1339</v>
      </c>
      <c r="D478" t="s">
        <v>1380</v>
      </c>
      <c r="E478" t="s">
        <v>1441</v>
      </c>
      <c r="F478" t="s">
        <v>1913</v>
      </c>
      <c r="G478" t="b">
        <v>1</v>
      </c>
      <c r="H478">
        <f>HYPERLINK("https://athena.uww.org/media/cache/person_default/uploads/images/5ac34c0450943.jpg")</f>
        <v>0</v>
      </c>
      <c r="I478">
        <f>HYPERLINK("https://athena.uww.org/p/55212")</f>
        <v>0</v>
      </c>
    </row>
    <row r="479" spans="1:9">
      <c r="A479">
        <v>4537</v>
      </c>
      <c r="B479" t="s">
        <v>486</v>
      </c>
      <c r="C479" t="s">
        <v>1339</v>
      </c>
      <c r="D479" t="s">
        <v>1380</v>
      </c>
      <c r="E479" t="s">
        <v>1441</v>
      </c>
      <c r="F479" t="s">
        <v>1914</v>
      </c>
      <c r="G479" t="b">
        <v>1</v>
      </c>
      <c r="H479">
        <f>HYPERLINK("https://athena.uww.org/media/cache/person_default/uploads/images/crop/578e1c4e944a0.png")</f>
        <v>0</v>
      </c>
      <c r="I479">
        <f>HYPERLINK("https://athena.uww.org/p/4537")</f>
        <v>0</v>
      </c>
    </row>
    <row r="480" spans="1:9">
      <c r="A480">
        <v>5315</v>
      </c>
      <c r="B480" t="s">
        <v>487</v>
      </c>
      <c r="C480" t="s">
        <v>1339</v>
      </c>
      <c r="D480" t="s">
        <v>1380</v>
      </c>
      <c r="E480" t="s">
        <v>1441</v>
      </c>
      <c r="F480" t="s">
        <v>1915</v>
      </c>
      <c r="G480" t="b">
        <v>1</v>
      </c>
      <c r="H480">
        <f>HYPERLINK("https://athena.uww.org/media/cache/person_default/uploads/images/referee-5315.jpg")</f>
        <v>0</v>
      </c>
      <c r="I480">
        <f>HYPERLINK("https://athena.uww.org/p/5315")</f>
        <v>0</v>
      </c>
    </row>
    <row r="481" spans="1:9">
      <c r="A481">
        <v>4206</v>
      </c>
      <c r="B481" t="s">
        <v>488</v>
      </c>
      <c r="C481" t="s">
        <v>1339</v>
      </c>
      <c r="D481" t="s">
        <v>1380</v>
      </c>
      <c r="E481" t="s">
        <v>1441</v>
      </c>
      <c r="F481" t="s">
        <v>1916</v>
      </c>
      <c r="G481" t="b">
        <v>1</v>
      </c>
      <c r="H481">
        <f>HYPERLINK("https://athena.uww.org/media/cache/person_default/uploads/images/crop/5b1e1070cb21e.png")</f>
        <v>0</v>
      </c>
      <c r="I481">
        <f>HYPERLINK("https://athena.uww.org/p/4206")</f>
        <v>0</v>
      </c>
    </row>
    <row r="482" spans="1:9">
      <c r="A482">
        <v>5314</v>
      </c>
      <c r="B482" t="s">
        <v>489</v>
      </c>
      <c r="C482" t="s">
        <v>1339</v>
      </c>
      <c r="D482" t="s">
        <v>1380</v>
      </c>
      <c r="E482" t="s">
        <v>1441</v>
      </c>
      <c r="F482" t="s">
        <v>1917</v>
      </c>
      <c r="G482" t="b">
        <v>1</v>
      </c>
      <c r="H482">
        <f>HYPERLINK("https://athena.uww.org/media/cache/person_default/uploads/images/crop/59dc9d4744ec0.png")</f>
        <v>0</v>
      </c>
      <c r="I482">
        <f>HYPERLINK("https://athena.uww.org/p/5314")</f>
        <v>0</v>
      </c>
    </row>
    <row r="483" spans="1:9">
      <c r="A483">
        <v>66305</v>
      </c>
      <c r="B483" t="s">
        <v>490</v>
      </c>
      <c r="C483" t="s">
        <v>1339</v>
      </c>
      <c r="D483" t="s">
        <v>1380</v>
      </c>
      <c r="E483" t="s">
        <v>1439</v>
      </c>
      <c r="F483" t="s">
        <v>1918</v>
      </c>
      <c r="G483" t="b">
        <v>1</v>
      </c>
      <c r="H483">
        <f>HYPERLINK("https://athena.uww.org/media/cache/person_default/uploads/images/crop/5cd953f2eed41422611702.png")</f>
        <v>0</v>
      </c>
      <c r="I483">
        <f>HYPERLINK("https://athena.uww.org/p/66305")</f>
        <v>0</v>
      </c>
    </row>
    <row r="484" spans="1:9">
      <c r="A484">
        <v>5543</v>
      </c>
      <c r="B484" t="s">
        <v>491</v>
      </c>
      <c r="C484" t="s">
        <v>1339</v>
      </c>
      <c r="D484" t="s">
        <v>1380</v>
      </c>
      <c r="E484" t="s">
        <v>1439</v>
      </c>
      <c r="F484" t="s">
        <v>1919</v>
      </c>
      <c r="G484" t="b">
        <v>1</v>
      </c>
      <c r="H484">
        <f>HYPERLINK("https://athena.uww.org/media/cache/person_default/uploads/images/referee-5543.jpg")</f>
        <v>0</v>
      </c>
      <c r="I484">
        <f>HYPERLINK("https://athena.uww.org/p/5543")</f>
        <v>0</v>
      </c>
    </row>
    <row r="485" spans="1:9">
      <c r="A485">
        <v>5298</v>
      </c>
      <c r="B485" t="s">
        <v>492</v>
      </c>
      <c r="C485" t="s">
        <v>1339</v>
      </c>
      <c r="D485" t="s">
        <v>1380</v>
      </c>
      <c r="E485" t="s">
        <v>1439</v>
      </c>
      <c r="F485" t="s">
        <v>1920</v>
      </c>
      <c r="G485" t="b">
        <v>1</v>
      </c>
      <c r="H485">
        <f>HYPERLINK("https://athena.uww.org/media/cache/person_default/uploads/images/referee-5298.jpg")</f>
        <v>0</v>
      </c>
      <c r="I485">
        <f>HYPERLINK("https://athena.uww.org/p/5298")</f>
        <v>0</v>
      </c>
    </row>
    <row r="486" spans="1:9">
      <c r="A486">
        <v>70954</v>
      </c>
      <c r="B486" t="s">
        <v>493</v>
      </c>
      <c r="C486" t="s">
        <v>1339</v>
      </c>
      <c r="D486" t="s">
        <v>1380</v>
      </c>
      <c r="E486" t="s">
        <v>1439</v>
      </c>
      <c r="F486" t="s">
        <v>1921</v>
      </c>
      <c r="G486" t="b">
        <v>1</v>
      </c>
      <c r="H486">
        <f>HYPERLINK("https://athena.uww.org/media/cache/person_default/uploads/images/crop/5db69acf1ca9b770468130.png")</f>
        <v>0</v>
      </c>
      <c r="I486">
        <f>HYPERLINK("https://athena.uww.org/p/70954")</f>
        <v>0</v>
      </c>
    </row>
    <row r="487" spans="1:9">
      <c r="A487">
        <v>5417</v>
      </c>
      <c r="B487" t="s">
        <v>494</v>
      </c>
      <c r="C487" t="s">
        <v>1339</v>
      </c>
      <c r="D487" t="s">
        <v>1380</v>
      </c>
      <c r="E487" t="s">
        <v>1439</v>
      </c>
      <c r="F487" t="s">
        <v>1922</v>
      </c>
      <c r="G487" t="b">
        <v>1</v>
      </c>
      <c r="H487">
        <f>HYPERLINK("https://athena.uww.org/media/cache/person_default/uploads/images/crop/62bdaa574fb7a863634673.png")</f>
        <v>0</v>
      </c>
      <c r="I487">
        <f>HYPERLINK("https://athena.uww.org/p/5417")</f>
        <v>0</v>
      </c>
    </row>
    <row r="488" spans="1:9">
      <c r="A488">
        <v>66235</v>
      </c>
      <c r="B488" t="s">
        <v>495</v>
      </c>
      <c r="C488" t="s">
        <v>1339</v>
      </c>
      <c r="D488" t="s">
        <v>1380</v>
      </c>
      <c r="E488" t="s">
        <v>1439</v>
      </c>
      <c r="F488" t="s">
        <v>1923</v>
      </c>
      <c r="G488" t="b">
        <v>1</v>
      </c>
      <c r="H488">
        <f>HYPERLINK("https://athena.uww.org/media/cache/person_default/uploads/images/crop/5ccfe4b526d56730045178.png")</f>
        <v>0</v>
      </c>
      <c r="I488">
        <f>HYPERLINK("https://athena.uww.org/p/66235")</f>
        <v>0</v>
      </c>
    </row>
    <row r="489" spans="1:9">
      <c r="A489">
        <v>43996</v>
      </c>
      <c r="B489" t="s">
        <v>496</v>
      </c>
      <c r="C489" t="s">
        <v>1339</v>
      </c>
      <c r="D489" t="s">
        <v>1380</v>
      </c>
      <c r="E489" t="s">
        <v>1439</v>
      </c>
      <c r="F489" t="s">
        <v>1924</v>
      </c>
      <c r="G489" t="b">
        <v>1</v>
      </c>
      <c r="H489">
        <f>HYPERLINK("https://athena.uww.org/media/cache/person_default/uploads/images/crop/59c372fb2057d.png")</f>
        <v>0</v>
      </c>
      <c r="I489">
        <f>HYPERLINK("https://athena.uww.org/p/43996")</f>
        <v>0</v>
      </c>
    </row>
    <row r="490" spans="1:9">
      <c r="A490">
        <v>66259</v>
      </c>
      <c r="B490" t="s">
        <v>497</v>
      </c>
      <c r="C490" t="s">
        <v>1339</v>
      </c>
      <c r="D490" t="s">
        <v>1380</v>
      </c>
      <c r="E490" t="s">
        <v>1439</v>
      </c>
      <c r="F490" t="s">
        <v>1925</v>
      </c>
      <c r="G490" t="b">
        <v>1</v>
      </c>
      <c r="H490">
        <f>HYPERLINK("https://athena.uww.org/media/cache/person_default/uploads/images/crop/5ce2711f1d030749395070.png")</f>
        <v>0</v>
      </c>
      <c r="I490">
        <f>HYPERLINK("https://athena.uww.org/p/66259")</f>
        <v>0</v>
      </c>
    </row>
    <row r="491" spans="1:9">
      <c r="A491">
        <v>5045</v>
      </c>
      <c r="B491" t="s">
        <v>498</v>
      </c>
      <c r="C491" t="s">
        <v>1339</v>
      </c>
      <c r="D491" t="s">
        <v>1380</v>
      </c>
      <c r="E491" t="s">
        <v>1439</v>
      </c>
      <c r="F491" t="s">
        <v>1926</v>
      </c>
      <c r="G491" t="b">
        <v>1</v>
      </c>
      <c r="H491">
        <f>HYPERLINK("https://athena.uww.org/media/cache/person_default/uploads/images/crop/5c7cc762958df692193858.png")</f>
        <v>0</v>
      </c>
      <c r="I491">
        <f>HYPERLINK("https://athena.uww.org/p/5045")</f>
        <v>0</v>
      </c>
    </row>
    <row r="492" spans="1:9">
      <c r="A492">
        <v>4685</v>
      </c>
      <c r="B492" t="s">
        <v>499</v>
      </c>
      <c r="C492" t="s">
        <v>1339</v>
      </c>
      <c r="D492" t="s">
        <v>1380</v>
      </c>
      <c r="E492" t="s">
        <v>1442</v>
      </c>
      <c r="F492" t="s">
        <v>1927</v>
      </c>
      <c r="G492" t="b">
        <v>1</v>
      </c>
      <c r="H492">
        <f>HYPERLINK("https://athena.uww.org/media/cache/person_default/uploads/images/referee-4685.jpg")</f>
        <v>0</v>
      </c>
      <c r="I492">
        <f>HYPERLINK("https://athena.uww.org/p/4685")</f>
        <v>0</v>
      </c>
    </row>
    <row r="493" spans="1:9">
      <c r="A493">
        <v>4736</v>
      </c>
      <c r="B493" t="s">
        <v>500</v>
      </c>
      <c r="C493" t="s">
        <v>1339</v>
      </c>
      <c r="D493" t="s">
        <v>1380</v>
      </c>
      <c r="E493" t="s">
        <v>1442</v>
      </c>
      <c r="F493" t="s">
        <v>1928</v>
      </c>
      <c r="G493" t="b">
        <v>1</v>
      </c>
      <c r="H493">
        <f>HYPERLINK("https://athena.uww.org/media/cache/person_default/uploads/images/referee-4736.jpg")</f>
        <v>0</v>
      </c>
      <c r="I493">
        <f>HYPERLINK("https://athena.uww.org/p/4736")</f>
        <v>0</v>
      </c>
    </row>
    <row r="494" spans="1:9">
      <c r="A494">
        <v>36</v>
      </c>
      <c r="B494" t="s">
        <v>501</v>
      </c>
      <c r="C494" t="s">
        <v>1339</v>
      </c>
      <c r="D494" t="s">
        <v>1380</v>
      </c>
      <c r="E494" t="s">
        <v>1442</v>
      </c>
      <c r="F494" t="s">
        <v>1929</v>
      </c>
      <c r="G494" t="b">
        <v>1</v>
      </c>
      <c r="H494">
        <f>HYPERLINK("https://athena.uww.org/media/cache/person_default/uploads/images/56d7e9e5e1c06.jpg")</f>
        <v>0</v>
      </c>
      <c r="I494">
        <f>HYPERLINK("https://athena.uww.org/p/36")</f>
        <v>0</v>
      </c>
    </row>
    <row r="495" spans="1:9">
      <c r="A495">
        <v>5552</v>
      </c>
      <c r="B495" t="s">
        <v>502</v>
      </c>
      <c r="C495" t="s">
        <v>1339</v>
      </c>
      <c r="D495" t="s">
        <v>1380</v>
      </c>
      <c r="E495" t="s">
        <v>1442</v>
      </c>
      <c r="F495" t="s">
        <v>1930</v>
      </c>
      <c r="G495" t="b">
        <v>1</v>
      </c>
      <c r="H495">
        <f>HYPERLINK("https://athena.uww.org/media/cache/person_default/uploads/images/referee-5552.jpg")</f>
        <v>0</v>
      </c>
      <c r="I495">
        <f>HYPERLINK("https://athena.uww.org/p/5552")</f>
        <v>0</v>
      </c>
    </row>
    <row r="496" spans="1:9">
      <c r="A496">
        <v>66501</v>
      </c>
      <c r="B496" t="s">
        <v>503</v>
      </c>
      <c r="C496" t="s">
        <v>1339</v>
      </c>
      <c r="D496" t="s">
        <v>1380</v>
      </c>
      <c r="E496" t="s">
        <v>1442</v>
      </c>
      <c r="F496" t="s">
        <v>1931</v>
      </c>
      <c r="G496" t="b">
        <v>1</v>
      </c>
      <c r="H496">
        <f>HYPERLINK("https://athena.uww.org/media/cache/person_default/uploads/images/crop/5ce2719b30b54683161858.png")</f>
        <v>0</v>
      </c>
      <c r="I496">
        <f>HYPERLINK("https://athena.uww.org/p/66501")</f>
        <v>0</v>
      </c>
    </row>
    <row r="497" spans="1:9">
      <c r="A497">
        <v>5157</v>
      </c>
      <c r="B497" t="s">
        <v>504</v>
      </c>
      <c r="C497" t="s">
        <v>1339</v>
      </c>
      <c r="D497" t="s">
        <v>1380</v>
      </c>
      <c r="E497" t="s">
        <v>1442</v>
      </c>
      <c r="F497" t="s">
        <v>1932</v>
      </c>
      <c r="G497" t="b">
        <v>1</v>
      </c>
      <c r="H497">
        <f>HYPERLINK("https://athena.uww.org/media/cache/person_default/uploads/images/referee-5157.jpg")</f>
        <v>0</v>
      </c>
      <c r="I497">
        <f>HYPERLINK("https://athena.uww.org/p/5157")</f>
        <v>0</v>
      </c>
    </row>
    <row r="498" spans="1:9">
      <c r="A498">
        <v>5506</v>
      </c>
      <c r="B498" t="s">
        <v>505</v>
      </c>
      <c r="C498" t="s">
        <v>1339</v>
      </c>
      <c r="D498" t="s">
        <v>1380</v>
      </c>
      <c r="E498" t="s">
        <v>1442</v>
      </c>
      <c r="F498" t="s">
        <v>1933</v>
      </c>
      <c r="G498" t="b">
        <v>1</v>
      </c>
      <c r="H498">
        <f>HYPERLINK("https://athena.uww.org/media/cache/person_default/uploads/images/referee-5506.jpg")</f>
        <v>0</v>
      </c>
      <c r="I498">
        <f>HYPERLINK("https://athena.uww.org/p/5506")</f>
        <v>0</v>
      </c>
    </row>
    <row r="499" spans="1:9">
      <c r="A499">
        <v>66237</v>
      </c>
      <c r="B499" t="s">
        <v>506</v>
      </c>
      <c r="C499" t="s">
        <v>1339</v>
      </c>
      <c r="D499" t="s">
        <v>1380</v>
      </c>
      <c r="E499" t="s">
        <v>1442</v>
      </c>
      <c r="F499" t="s">
        <v>1934</v>
      </c>
      <c r="G499" t="b">
        <v>0</v>
      </c>
      <c r="H499">
        <f>HYPERLINK("https://athena.uww.org/media/cache/person_default/uploads/images/crop/5ccfe3951d05c613626088.png")</f>
        <v>0</v>
      </c>
      <c r="I499">
        <f>HYPERLINK("https://athena.uww.org/p/66237")</f>
        <v>0</v>
      </c>
    </row>
    <row r="500" spans="1:9">
      <c r="A500">
        <v>64</v>
      </c>
      <c r="B500" t="s">
        <v>507</v>
      </c>
      <c r="C500" t="s">
        <v>1339</v>
      </c>
      <c r="D500" t="s">
        <v>1380</v>
      </c>
      <c r="E500" t="s">
        <v>1442</v>
      </c>
      <c r="F500" t="s">
        <v>1935</v>
      </c>
      <c r="G500" t="b">
        <v>1</v>
      </c>
      <c r="H500">
        <f>HYPERLINK("https://athena.uww.org/media/cache/person_default/uploads/images/567a7e553e2ad.jpg")</f>
        <v>0</v>
      </c>
      <c r="I500">
        <f>HYPERLINK("https://athena.uww.org/p/64")</f>
        <v>0</v>
      </c>
    </row>
    <row r="501" spans="1:9">
      <c r="A501">
        <v>4249</v>
      </c>
      <c r="B501" t="s">
        <v>508</v>
      </c>
      <c r="C501" t="s">
        <v>1339</v>
      </c>
      <c r="D501" t="s">
        <v>1380</v>
      </c>
      <c r="E501" t="s">
        <v>1442</v>
      </c>
      <c r="F501" t="s">
        <v>1936</v>
      </c>
      <c r="G501" t="b">
        <v>0</v>
      </c>
      <c r="H501">
        <f>HYPERLINK("https://athena.uww.org/media/cache/person_default/uploads/images/referee-4249.jpg")</f>
        <v>0</v>
      </c>
      <c r="I501">
        <f>HYPERLINK("https://athena.uww.org/p/4249")</f>
        <v>0</v>
      </c>
    </row>
    <row r="502" spans="1:9">
      <c r="A502">
        <v>5554</v>
      </c>
      <c r="B502" t="s">
        <v>509</v>
      </c>
      <c r="C502" t="s">
        <v>1339</v>
      </c>
      <c r="D502" t="s">
        <v>1380</v>
      </c>
      <c r="E502" t="s">
        <v>1442</v>
      </c>
      <c r="F502" t="s">
        <v>1675</v>
      </c>
      <c r="G502" t="b">
        <v>1</v>
      </c>
      <c r="H502">
        <f>HYPERLINK("https://athena.uww.org/media/cache/person_default/uploads/images/referee-5554.jpg")</f>
        <v>0</v>
      </c>
      <c r="I502">
        <f>HYPERLINK("https://athena.uww.org/p/5554")</f>
        <v>0</v>
      </c>
    </row>
    <row r="503" spans="1:9">
      <c r="A503">
        <v>55211</v>
      </c>
      <c r="B503" t="s">
        <v>510</v>
      </c>
      <c r="C503" t="s">
        <v>1339</v>
      </c>
      <c r="D503" t="s">
        <v>1380</v>
      </c>
      <c r="E503" t="s">
        <v>1442</v>
      </c>
      <c r="F503" t="s">
        <v>1937</v>
      </c>
      <c r="G503" t="b">
        <v>1</v>
      </c>
      <c r="H503">
        <f>HYPERLINK("https://athena.uww.org/media/cache/person_default/uploads/images/crop/5acb0de8a8cad.png")</f>
        <v>0</v>
      </c>
      <c r="I503">
        <f>HYPERLINK("https://athena.uww.org/p/55211")</f>
        <v>0</v>
      </c>
    </row>
    <row r="504" spans="1:9">
      <c r="A504">
        <v>108067</v>
      </c>
      <c r="B504" t="s">
        <v>511</v>
      </c>
      <c r="C504" t="s">
        <v>1339</v>
      </c>
      <c r="D504" t="s">
        <v>1380</v>
      </c>
      <c r="E504" t="s">
        <v>1442</v>
      </c>
      <c r="F504" t="s">
        <v>1938</v>
      </c>
      <c r="G504" t="b">
        <v>1</v>
      </c>
      <c r="H504">
        <f>HYPERLINK("https://athena.uww.org/media/cache/person_default/uploads/images/68354d3a9ac47431796402.jpg")</f>
        <v>0</v>
      </c>
      <c r="I504">
        <f>HYPERLINK("https://athena.uww.org/p/108067")</f>
        <v>0</v>
      </c>
    </row>
    <row r="505" spans="1:9">
      <c r="A505">
        <v>5043</v>
      </c>
      <c r="B505" t="s">
        <v>512</v>
      </c>
      <c r="C505" t="s">
        <v>1339</v>
      </c>
      <c r="D505" t="s">
        <v>1380</v>
      </c>
      <c r="E505" t="s">
        <v>1442</v>
      </c>
      <c r="F505" t="s">
        <v>1939</v>
      </c>
      <c r="G505" t="b">
        <v>1</v>
      </c>
      <c r="H505">
        <f>HYPERLINK("https://athena.uww.org/media/cache/person_default/uploads/images/referee-5043.jpg")</f>
        <v>0</v>
      </c>
      <c r="I505">
        <f>HYPERLINK("https://athena.uww.org/p/5043")</f>
        <v>0</v>
      </c>
    </row>
    <row r="506" spans="1:9">
      <c r="A506">
        <v>108066</v>
      </c>
      <c r="B506" t="s">
        <v>513</v>
      </c>
      <c r="C506" t="s">
        <v>1339</v>
      </c>
      <c r="D506" t="s">
        <v>1380</v>
      </c>
      <c r="E506" t="s">
        <v>1442</v>
      </c>
      <c r="F506" t="s">
        <v>1940</v>
      </c>
      <c r="G506" t="b">
        <v>1</v>
      </c>
      <c r="H506">
        <f>HYPERLINK("https://athena.uww.org/media/cache/person_default/uploads/images/68354c9e050f8546598650.jpg")</f>
        <v>0</v>
      </c>
      <c r="I506">
        <f>HYPERLINK("https://athena.uww.org/p/108066")</f>
        <v>0</v>
      </c>
    </row>
    <row r="507" spans="1:9">
      <c r="A507">
        <v>5555</v>
      </c>
      <c r="B507" t="s">
        <v>514</v>
      </c>
      <c r="C507" t="s">
        <v>1339</v>
      </c>
      <c r="D507" t="s">
        <v>1380</v>
      </c>
      <c r="E507" t="s">
        <v>1442</v>
      </c>
      <c r="F507" t="s">
        <v>1923</v>
      </c>
      <c r="G507" t="b">
        <v>1</v>
      </c>
      <c r="H507">
        <f>HYPERLINK("https://athena.uww.org/media/cache/person_default/uploads/images/referee-5555.jpg")</f>
        <v>0</v>
      </c>
      <c r="I507">
        <f>HYPERLINK("https://athena.uww.org/p/5555")</f>
        <v>0</v>
      </c>
    </row>
    <row r="508" spans="1:9">
      <c r="A508">
        <v>4536</v>
      </c>
      <c r="B508" t="s">
        <v>515</v>
      </c>
      <c r="C508" t="s">
        <v>1339</v>
      </c>
      <c r="D508" t="s">
        <v>1380</v>
      </c>
      <c r="E508" t="s">
        <v>1442</v>
      </c>
      <c r="F508" t="s">
        <v>1941</v>
      </c>
      <c r="G508" t="b">
        <v>1</v>
      </c>
      <c r="H508">
        <f>HYPERLINK("https://athena.uww.org/media/cache/person_default/uploads/images/568a2eea6008a.jpg")</f>
        <v>0</v>
      </c>
      <c r="I508">
        <f>HYPERLINK("https://athena.uww.org/p/4536")</f>
        <v>0</v>
      </c>
    </row>
    <row r="509" spans="1:9">
      <c r="A509">
        <v>5317</v>
      </c>
      <c r="B509" t="s">
        <v>516</v>
      </c>
      <c r="C509" t="s">
        <v>1339</v>
      </c>
      <c r="D509" t="s">
        <v>1380</v>
      </c>
      <c r="E509" t="s">
        <v>1442</v>
      </c>
      <c r="F509" t="s">
        <v>1942</v>
      </c>
      <c r="G509" t="b">
        <v>1</v>
      </c>
      <c r="H509">
        <f>HYPERLINK("https://athena.uww.org/media/cache/person_default/uploads/images/referee-5317.jpg")</f>
        <v>0</v>
      </c>
      <c r="I509">
        <f>HYPERLINK("https://athena.uww.org/p/5317")</f>
        <v>0</v>
      </c>
    </row>
    <row r="510" spans="1:9">
      <c r="A510">
        <v>5574</v>
      </c>
      <c r="B510" t="s">
        <v>517</v>
      </c>
      <c r="C510" t="s">
        <v>1339</v>
      </c>
      <c r="D510" t="s">
        <v>1380</v>
      </c>
      <c r="E510" t="s">
        <v>1442</v>
      </c>
      <c r="F510" t="s">
        <v>1943</v>
      </c>
      <c r="G510" t="b">
        <v>1</v>
      </c>
      <c r="H510">
        <f>HYPERLINK("https://athena.uww.org/media/cache/person_default/uploads/images/referee-5574.jpg")</f>
        <v>0</v>
      </c>
      <c r="I510">
        <f>HYPERLINK("https://athena.uww.org/p/5574")</f>
        <v>0</v>
      </c>
    </row>
    <row r="511" spans="1:9">
      <c r="A511">
        <v>4211</v>
      </c>
      <c r="B511" t="s">
        <v>518</v>
      </c>
      <c r="C511" t="s">
        <v>1339</v>
      </c>
      <c r="D511" t="s">
        <v>1380</v>
      </c>
      <c r="E511" t="s">
        <v>1442</v>
      </c>
      <c r="F511" t="s">
        <v>1944</v>
      </c>
      <c r="G511" t="b">
        <v>0</v>
      </c>
      <c r="H511">
        <f>HYPERLINK("https://athena.uww.org/media/cache/person_default/uploads/images/referee-4211.jpg")</f>
        <v>0</v>
      </c>
      <c r="I511">
        <f>HYPERLINK("https://athena.uww.org/p/4211")</f>
        <v>0</v>
      </c>
    </row>
    <row r="512" spans="1:9">
      <c r="A512">
        <v>4683</v>
      </c>
      <c r="B512" t="s">
        <v>519</v>
      </c>
      <c r="C512" t="s">
        <v>1339</v>
      </c>
      <c r="D512" t="s">
        <v>1380</v>
      </c>
      <c r="E512" t="s">
        <v>1442</v>
      </c>
      <c r="F512" t="s">
        <v>1945</v>
      </c>
      <c r="G512" t="b">
        <v>1</v>
      </c>
      <c r="H512">
        <f>HYPERLINK("https://athena.uww.org/media/cache/person_default/uploads/images/referee-4683.jpg")</f>
        <v>0</v>
      </c>
      <c r="I512">
        <f>HYPERLINK("https://athena.uww.org/p/4683")</f>
        <v>0</v>
      </c>
    </row>
    <row r="513" spans="1:9">
      <c r="A513">
        <v>93372</v>
      </c>
      <c r="B513" t="s">
        <v>520</v>
      </c>
      <c r="C513" t="s">
        <v>1339</v>
      </c>
      <c r="D513" t="s">
        <v>1380</v>
      </c>
      <c r="E513" t="s">
        <v>1442</v>
      </c>
      <c r="F513" t="s">
        <v>1946</v>
      </c>
      <c r="G513" t="b">
        <v>1</v>
      </c>
      <c r="H513">
        <f>HYPERLINK("https://athena.uww.org/media/cache/person_default/uploads/images/crop/64a79cdc171f5508425388.png")</f>
        <v>0</v>
      </c>
      <c r="I513">
        <f>HYPERLINK("https://athena.uww.org/p/93372")</f>
        <v>0</v>
      </c>
    </row>
    <row r="514" spans="1:9">
      <c r="A514">
        <v>5414</v>
      </c>
      <c r="B514" t="s">
        <v>521</v>
      </c>
      <c r="C514" t="s">
        <v>1339</v>
      </c>
      <c r="D514" t="s">
        <v>1380</v>
      </c>
      <c r="E514" t="s">
        <v>1442</v>
      </c>
      <c r="F514" t="s">
        <v>1947</v>
      </c>
      <c r="G514" t="b">
        <v>1</v>
      </c>
      <c r="H514">
        <f>HYPERLINK("https://athena.uww.org/media/cache/person_default/uploads/images/crop/6319ec5206cd6323223253.png")</f>
        <v>0</v>
      </c>
      <c r="I514">
        <f>HYPERLINK("https://athena.uww.org/p/5414")</f>
        <v>0</v>
      </c>
    </row>
    <row r="515" spans="1:9">
      <c r="A515">
        <v>5041</v>
      </c>
      <c r="B515" t="s">
        <v>522</v>
      </c>
      <c r="C515" t="s">
        <v>1339</v>
      </c>
      <c r="D515" t="s">
        <v>1380</v>
      </c>
      <c r="E515" t="s">
        <v>1442</v>
      </c>
      <c r="F515" t="s">
        <v>1948</v>
      </c>
      <c r="G515" t="b">
        <v>0</v>
      </c>
      <c r="H515">
        <f>HYPERLINK("https://athena.uww.org/media/cache/person_default/uploads/images/crop/5ac34b8fe80eb.png")</f>
        <v>0</v>
      </c>
      <c r="I515">
        <f>HYPERLINK("https://athena.uww.org/p/5041")</f>
        <v>0</v>
      </c>
    </row>
    <row r="516" spans="1:9">
      <c r="A516">
        <v>4539</v>
      </c>
      <c r="B516" t="s">
        <v>523</v>
      </c>
      <c r="C516" t="s">
        <v>1339</v>
      </c>
      <c r="D516" t="s">
        <v>1380</v>
      </c>
      <c r="E516" t="s">
        <v>1442</v>
      </c>
      <c r="F516" t="s">
        <v>1949</v>
      </c>
      <c r="G516" t="b">
        <v>1</v>
      </c>
      <c r="H516">
        <f>HYPERLINK("https://athena.uww.org/media/cache/person_default/uploads/images/5677bf66f0c77.jpg")</f>
        <v>0</v>
      </c>
      <c r="I516">
        <f>HYPERLINK("https://athena.uww.org/p/4539")</f>
        <v>0</v>
      </c>
    </row>
    <row r="517" spans="1:9">
      <c r="A517">
        <v>4207</v>
      </c>
      <c r="B517" t="s">
        <v>524</v>
      </c>
      <c r="C517" t="s">
        <v>1339</v>
      </c>
      <c r="D517" t="s">
        <v>1380</v>
      </c>
      <c r="E517" t="s">
        <v>1442</v>
      </c>
      <c r="F517" t="s">
        <v>1950</v>
      </c>
      <c r="G517" t="b">
        <v>0</v>
      </c>
      <c r="H517">
        <f>HYPERLINK("https://athena.uww.org/media/cache/person_default/uploads/images/crop/582588487810c.png")</f>
        <v>0</v>
      </c>
      <c r="I517">
        <f>HYPERLINK("https://athena.uww.org/p/4207")</f>
        <v>0</v>
      </c>
    </row>
    <row r="518" spans="1:9">
      <c r="A518">
        <v>4686</v>
      </c>
      <c r="B518" t="s">
        <v>525</v>
      </c>
      <c r="C518" t="s">
        <v>1339</v>
      </c>
      <c r="D518" t="s">
        <v>1380</v>
      </c>
      <c r="E518" t="s">
        <v>1442</v>
      </c>
      <c r="F518" t="s">
        <v>1951</v>
      </c>
      <c r="G518" t="b">
        <v>1</v>
      </c>
      <c r="H518">
        <f>HYPERLINK("https://athena.uww.org/media/cache/person_default/uploads/images/referee-4686.jpg")</f>
        <v>0</v>
      </c>
      <c r="I518">
        <f>HYPERLINK("https://athena.uww.org/p/4686")</f>
        <v>0</v>
      </c>
    </row>
    <row r="519" spans="1:9">
      <c r="A519">
        <v>55621</v>
      </c>
      <c r="B519" t="s">
        <v>526</v>
      </c>
      <c r="C519" t="s">
        <v>1339</v>
      </c>
      <c r="D519" t="s">
        <v>1380</v>
      </c>
      <c r="E519" t="s">
        <v>1442</v>
      </c>
      <c r="F519" t="s">
        <v>1952</v>
      </c>
      <c r="G519" t="b">
        <v>0</v>
      </c>
      <c r="H519">
        <f>HYPERLINK("https://athena.uww.org/media/cache/person_default/uploads/images/crop/5b1e112a098df.png")</f>
        <v>0</v>
      </c>
      <c r="I519">
        <f>HYPERLINK("https://athena.uww.org/p/55621")</f>
        <v>0</v>
      </c>
    </row>
    <row r="520" spans="1:9">
      <c r="A520">
        <v>43993</v>
      </c>
      <c r="B520" t="s">
        <v>527</v>
      </c>
      <c r="C520" t="s">
        <v>1339</v>
      </c>
      <c r="D520" t="s">
        <v>1380</v>
      </c>
      <c r="E520" t="s">
        <v>1442</v>
      </c>
      <c r="F520" t="s">
        <v>1953</v>
      </c>
      <c r="G520" t="b">
        <v>1</v>
      </c>
      <c r="H520">
        <f>HYPERLINK("https://athena.uww.org/media/cache/person_default/uploads/images/crop/59c373f741586.png")</f>
        <v>0</v>
      </c>
      <c r="I520">
        <f>HYPERLINK("https://athena.uww.org/p/43993")</f>
        <v>0</v>
      </c>
    </row>
    <row r="521" spans="1:9">
      <c r="A521">
        <v>43994</v>
      </c>
      <c r="B521" t="s">
        <v>528</v>
      </c>
      <c r="C521" t="s">
        <v>1339</v>
      </c>
      <c r="D521" t="s">
        <v>1380</v>
      </c>
      <c r="E521" t="s">
        <v>1442</v>
      </c>
      <c r="F521" t="s">
        <v>1954</v>
      </c>
      <c r="G521" t="b">
        <v>1</v>
      </c>
      <c r="H521">
        <f>HYPERLINK("https://athena.uww.org/media/cache/person_default/uploads/images/crop/58e889d9b5eda.png")</f>
        <v>0</v>
      </c>
      <c r="I521">
        <f>HYPERLINK("https://athena.uww.org/p/43994")</f>
        <v>0</v>
      </c>
    </row>
    <row r="522" spans="1:9">
      <c r="A522">
        <v>37</v>
      </c>
      <c r="B522" t="s">
        <v>529</v>
      </c>
      <c r="C522" t="s">
        <v>1339</v>
      </c>
      <c r="D522" t="s">
        <v>1380</v>
      </c>
      <c r="E522" t="s">
        <v>1442</v>
      </c>
      <c r="F522" t="s">
        <v>1955</v>
      </c>
      <c r="G522" t="b">
        <v>1</v>
      </c>
      <c r="H522">
        <f>HYPERLINK("https://athena.uww.org/media/cache/person_default/uploads/images/567a77f09582a.jpg")</f>
        <v>0</v>
      </c>
      <c r="I522">
        <f>HYPERLINK("https://athena.uww.org/p/37")</f>
        <v>0</v>
      </c>
    </row>
    <row r="523" spans="1:9">
      <c r="A523">
        <v>5504</v>
      </c>
      <c r="B523" t="s">
        <v>530</v>
      </c>
      <c r="C523" t="s">
        <v>1339</v>
      </c>
      <c r="D523" t="s">
        <v>1380</v>
      </c>
      <c r="E523" t="s">
        <v>1442</v>
      </c>
      <c r="F523" t="s">
        <v>1956</v>
      </c>
      <c r="G523" t="b">
        <v>1</v>
      </c>
      <c r="H523">
        <f>HYPERLINK("https://athena.uww.org/media/cache/person_default/uploads/images/referee-5504.jpg")</f>
        <v>0</v>
      </c>
      <c r="I523">
        <f>HYPERLINK("https://athena.uww.org/p/5504")</f>
        <v>0</v>
      </c>
    </row>
    <row r="524" spans="1:9">
      <c r="A524">
        <v>5316</v>
      </c>
      <c r="B524" t="s">
        <v>531</v>
      </c>
      <c r="C524" t="s">
        <v>1339</v>
      </c>
      <c r="D524" t="s">
        <v>1380</v>
      </c>
      <c r="E524" t="s">
        <v>1442</v>
      </c>
      <c r="F524" t="s">
        <v>1648</v>
      </c>
      <c r="G524" t="b">
        <v>0</v>
      </c>
      <c r="H524">
        <f>HYPERLINK("https://athena.uww.org/media/cache/person_default/uploads/images/referee-5316.jpg")</f>
        <v>0</v>
      </c>
      <c r="I524">
        <f>HYPERLINK("https://athena.uww.org/p/5316")</f>
        <v>0</v>
      </c>
    </row>
    <row r="525" spans="1:9">
      <c r="A525">
        <v>108065</v>
      </c>
      <c r="B525" t="s">
        <v>532</v>
      </c>
      <c r="C525" t="s">
        <v>1339</v>
      </c>
      <c r="D525" t="s">
        <v>1380</v>
      </c>
      <c r="E525" t="s">
        <v>1442</v>
      </c>
      <c r="F525" t="s">
        <v>1957</v>
      </c>
      <c r="G525" t="b">
        <v>1</v>
      </c>
      <c r="H525">
        <f>HYPERLINK("https://athena.uww.org/media/cache/person_default/uploads/images/crop/6836b7b568cbd954652295.png")</f>
        <v>0</v>
      </c>
      <c r="I525">
        <f>HYPERLINK("https://athena.uww.org/p/108065")</f>
        <v>0</v>
      </c>
    </row>
    <row r="526" spans="1:9">
      <c r="A526">
        <v>5420</v>
      </c>
      <c r="B526" t="s">
        <v>533</v>
      </c>
      <c r="C526" t="s">
        <v>1339</v>
      </c>
      <c r="D526" t="s">
        <v>1380</v>
      </c>
      <c r="E526" t="s">
        <v>1442</v>
      </c>
      <c r="F526" t="s">
        <v>1958</v>
      </c>
      <c r="G526" t="b">
        <v>1</v>
      </c>
      <c r="H526">
        <f>HYPERLINK("https://athena.uww.org/media/cache/person_default/uploads/images/referee-5420.jpg")</f>
        <v>0</v>
      </c>
      <c r="I526">
        <f>HYPERLINK("https://athena.uww.org/p/5420")</f>
        <v>0</v>
      </c>
    </row>
    <row r="527" spans="1:9">
      <c r="A527">
        <v>5255</v>
      </c>
      <c r="B527" t="s">
        <v>534</v>
      </c>
      <c r="C527" t="s">
        <v>1339</v>
      </c>
      <c r="D527" t="s">
        <v>1380</v>
      </c>
      <c r="E527" t="s">
        <v>1442</v>
      </c>
      <c r="F527" t="s">
        <v>1959</v>
      </c>
      <c r="G527" t="b">
        <v>1</v>
      </c>
      <c r="H527">
        <f>HYPERLINK("https://athena.uww.org/media/cache/person_default/uploads/images/referee-5255.jpg")</f>
        <v>0</v>
      </c>
      <c r="I527">
        <f>HYPERLINK("https://athena.uww.org/p/5255")</f>
        <v>0</v>
      </c>
    </row>
    <row r="528" spans="1:9">
      <c r="A528">
        <v>59577</v>
      </c>
      <c r="B528" t="s">
        <v>535</v>
      </c>
      <c r="C528" t="s">
        <v>1339</v>
      </c>
      <c r="D528" t="s">
        <v>1380</v>
      </c>
      <c r="E528" t="s">
        <v>1442</v>
      </c>
      <c r="F528" t="s">
        <v>1960</v>
      </c>
      <c r="G528" t="b">
        <v>1</v>
      </c>
      <c r="H528">
        <f>HYPERLINK("https://athena.uww.org/media/cache/person_default/uploads/images/crop/5b740c67cf945.png")</f>
        <v>0</v>
      </c>
      <c r="I528">
        <f>HYPERLINK("https://athena.uww.org/p/59577")</f>
        <v>0</v>
      </c>
    </row>
    <row r="529" spans="1:9">
      <c r="A529">
        <v>5557</v>
      </c>
      <c r="B529" t="s">
        <v>536</v>
      </c>
      <c r="C529" t="s">
        <v>1339</v>
      </c>
      <c r="D529" t="s">
        <v>1380</v>
      </c>
      <c r="E529" t="s">
        <v>1442</v>
      </c>
      <c r="F529" t="s">
        <v>1961</v>
      </c>
      <c r="G529" t="b">
        <v>1</v>
      </c>
      <c r="H529">
        <f>HYPERLINK("https://athena.uww.org/media/cache/person_default/uploads/images/56814de738c20.jpg")</f>
        <v>0</v>
      </c>
      <c r="I529">
        <f>HYPERLINK("https://athena.uww.org/p/5557")</f>
        <v>0</v>
      </c>
    </row>
    <row r="530" spans="1:9">
      <c r="A530">
        <v>35779</v>
      </c>
      <c r="B530" t="s">
        <v>537</v>
      </c>
      <c r="C530" t="s">
        <v>1339</v>
      </c>
      <c r="D530" t="s">
        <v>1380</v>
      </c>
      <c r="E530" t="s">
        <v>1442</v>
      </c>
      <c r="F530" t="s">
        <v>1962</v>
      </c>
      <c r="G530" t="b">
        <v>0</v>
      </c>
      <c r="H530">
        <f>HYPERLINK("https://athena.uww.org/media/cache/person_default/uploads/images/crop/580f6738d0a21.png")</f>
        <v>0</v>
      </c>
      <c r="I530">
        <f>HYPERLINK("https://athena.uww.org/p/35779")</f>
        <v>0</v>
      </c>
    </row>
    <row r="531" spans="1:9">
      <c r="A531">
        <v>4598</v>
      </c>
      <c r="B531" t="s">
        <v>538</v>
      </c>
      <c r="C531" t="s">
        <v>1339</v>
      </c>
      <c r="D531" t="s">
        <v>1381</v>
      </c>
      <c r="E531" t="s">
        <v>1440</v>
      </c>
      <c r="F531" t="s">
        <v>1963</v>
      </c>
      <c r="G531" t="b">
        <v>1</v>
      </c>
      <c r="H531">
        <f>HYPERLINK("https://athena.uww.org/media/cache/person_default/uploads/images/crop/63cba2cc44e2c118217300.png")</f>
        <v>0</v>
      </c>
      <c r="I531">
        <f>HYPERLINK("https://athena.uww.org/p/4598")</f>
        <v>0</v>
      </c>
    </row>
    <row r="532" spans="1:9">
      <c r="A532">
        <v>3850</v>
      </c>
      <c r="B532" t="s">
        <v>539</v>
      </c>
      <c r="C532" t="s">
        <v>1339</v>
      </c>
      <c r="D532" t="s">
        <v>1381</v>
      </c>
      <c r="E532" t="s">
        <v>1440</v>
      </c>
      <c r="F532" t="s">
        <v>1964</v>
      </c>
      <c r="G532" t="b">
        <v>1</v>
      </c>
      <c r="H532">
        <f>HYPERLINK("https://athena.uww.org/media/cache/person_default/uploads/images/crop/63cba2c4323ac406611997.png")</f>
        <v>0</v>
      </c>
      <c r="I532">
        <f>HYPERLINK("https://athena.uww.org/p/3850")</f>
        <v>0</v>
      </c>
    </row>
    <row r="533" spans="1:9">
      <c r="A533">
        <v>3851</v>
      </c>
      <c r="B533" t="s">
        <v>540</v>
      </c>
      <c r="C533" t="s">
        <v>1339</v>
      </c>
      <c r="D533" t="s">
        <v>1381</v>
      </c>
      <c r="E533" t="s">
        <v>1441</v>
      </c>
      <c r="F533" t="s">
        <v>1965</v>
      </c>
      <c r="G533" t="b">
        <v>1</v>
      </c>
      <c r="H533">
        <f>HYPERLINK("https://athena.uww.org/media/cache/person_default/uploads/images/referee-3851.JPG")</f>
        <v>0</v>
      </c>
      <c r="I533">
        <f>HYPERLINK("https://athena.uww.org/p/3851")</f>
        <v>0</v>
      </c>
    </row>
    <row r="534" spans="1:9">
      <c r="A534">
        <v>80595</v>
      </c>
      <c r="B534" t="s">
        <v>541</v>
      </c>
      <c r="C534" t="s">
        <v>1339</v>
      </c>
      <c r="D534" t="s">
        <v>1381</v>
      </c>
      <c r="E534" t="s">
        <v>1441</v>
      </c>
      <c r="F534" t="s">
        <v>1966</v>
      </c>
      <c r="G534" t="b">
        <v>1</v>
      </c>
      <c r="H534">
        <f>HYPERLINK("https://athena.uww.org/media/cache/person_default/uploads/images/621409faabf60749842264.jpeg")</f>
        <v>0</v>
      </c>
      <c r="I534">
        <f>HYPERLINK("https://athena.uww.org/p/80595")</f>
        <v>0</v>
      </c>
    </row>
    <row r="535" spans="1:9">
      <c r="A535">
        <v>4758</v>
      </c>
      <c r="B535" t="s">
        <v>542</v>
      </c>
      <c r="C535" t="s">
        <v>1339</v>
      </c>
      <c r="D535" t="s">
        <v>1381</v>
      </c>
      <c r="E535" t="s">
        <v>1441</v>
      </c>
      <c r="F535" t="s">
        <v>1880</v>
      </c>
      <c r="G535" t="b">
        <v>1</v>
      </c>
      <c r="H535">
        <f>HYPERLINK("https://athena.uww.org/media/cache/person_default/uploads/images/5ff2e47551d3b386980720.jpeg")</f>
        <v>0</v>
      </c>
      <c r="I535">
        <f>HYPERLINK("https://athena.uww.org/p/4758")</f>
        <v>0</v>
      </c>
    </row>
    <row r="536" spans="1:9">
      <c r="A536">
        <v>5587</v>
      </c>
      <c r="B536" t="s">
        <v>543</v>
      </c>
      <c r="C536" t="s">
        <v>1339</v>
      </c>
      <c r="D536" t="s">
        <v>1381</v>
      </c>
      <c r="E536" t="s">
        <v>1441</v>
      </c>
      <c r="F536" t="s">
        <v>1967</v>
      </c>
      <c r="G536" t="b">
        <v>1</v>
      </c>
      <c r="H536">
        <f>HYPERLINK("https://athena.uww.org/media/cache/person_default/uploads/images/referee-5587.jpg")</f>
        <v>0</v>
      </c>
      <c r="I536">
        <f>HYPERLINK("https://athena.uww.org/p/5587")</f>
        <v>0</v>
      </c>
    </row>
    <row r="537" spans="1:9">
      <c r="A537">
        <v>4825</v>
      </c>
      <c r="B537" t="s">
        <v>544</v>
      </c>
      <c r="C537" t="s">
        <v>1339</v>
      </c>
      <c r="D537" t="s">
        <v>1381</v>
      </c>
      <c r="E537" t="s">
        <v>1439</v>
      </c>
      <c r="F537" t="s">
        <v>1968</v>
      </c>
      <c r="G537" t="b">
        <v>1</v>
      </c>
      <c r="H537">
        <f>HYPERLINK("https://athena.uww.org/media/cache/person_default/uploads/images/56af7b54de203.jpg")</f>
        <v>0</v>
      </c>
      <c r="I537">
        <f>HYPERLINK("https://athena.uww.org/p/4825")</f>
        <v>0</v>
      </c>
    </row>
    <row r="538" spans="1:9">
      <c r="A538">
        <v>5573</v>
      </c>
      <c r="B538" t="s">
        <v>545</v>
      </c>
      <c r="C538" t="s">
        <v>1339</v>
      </c>
      <c r="D538" t="s">
        <v>1381</v>
      </c>
      <c r="E538" t="s">
        <v>1439</v>
      </c>
      <c r="F538" t="s">
        <v>1969</v>
      </c>
      <c r="G538" t="b">
        <v>1</v>
      </c>
      <c r="H538">
        <f>HYPERLINK("https://athena.uww.org/media/cache/person_default/uploads/images/56d6ad0619cb3.jpg")</f>
        <v>0</v>
      </c>
      <c r="I538">
        <f>HYPERLINK("https://athena.uww.org/p/5573")</f>
        <v>0</v>
      </c>
    </row>
    <row r="539" spans="1:9">
      <c r="A539">
        <v>4826</v>
      </c>
      <c r="B539" t="s">
        <v>546</v>
      </c>
      <c r="C539" t="s">
        <v>1339</v>
      </c>
      <c r="D539" t="s">
        <v>1381</v>
      </c>
      <c r="E539" t="s">
        <v>1439</v>
      </c>
      <c r="F539" t="s">
        <v>1970</v>
      </c>
      <c r="G539" t="b">
        <v>1</v>
      </c>
      <c r="H539">
        <f>HYPERLINK("https://athena.uww.org/media/cache/person_default/uploads/images/referee-4826.jpg")</f>
        <v>0</v>
      </c>
      <c r="I539">
        <f>HYPERLINK("https://athena.uww.org/p/4826")</f>
        <v>0</v>
      </c>
    </row>
    <row r="540" spans="1:9">
      <c r="A540">
        <v>5185</v>
      </c>
      <c r="B540" t="s">
        <v>547</v>
      </c>
      <c r="C540" t="s">
        <v>1339</v>
      </c>
      <c r="D540" t="s">
        <v>1381</v>
      </c>
      <c r="E540" t="s">
        <v>1439</v>
      </c>
      <c r="F540" t="s">
        <v>1971</v>
      </c>
      <c r="G540" t="b">
        <v>1</v>
      </c>
      <c r="H540">
        <f>HYPERLINK("https://athena.uww.org/media/cache/person_default/uploads/images/crop/66e9313c9bd90486480595.png")</f>
        <v>0</v>
      </c>
      <c r="I540">
        <f>HYPERLINK("https://athena.uww.org/p/5185")</f>
        <v>0</v>
      </c>
    </row>
    <row r="541" spans="1:9">
      <c r="A541">
        <v>5397</v>
      </c>
      <c r="B541" t="s">
        <v>548</v>
      </c>
      <c r="C541" t="s">
        <v>1339</v>
      </c>
      <c r="D541" t="s">
        <v>1381</v>
      </c>
      <c r="E541" t="s">
        <v>1439</v>
      </c>
      <c r="F541" t="s">
        <v>1972</v>
      </c>
      <c r="G541" t="b">
        <v>1</v>
      </c>
      <c r="H541">
        <f>HYPERLINK("https://athena.uww.org/media/cache/person_default/uploads/images/56d6b00706ef5.jpg")</f>
        <v>0</v>
      </c>
      <c r="I541">
        <f>HYPERLINK("https://athena.uww.org/p/5397")</f>
        <v>0</v>
      </c>
    </row>
    <row r="542" spans="1:9">
      <c r="A542">
        <v>71077</v>
      </c>
      <c r="B542" t="s">
        <v>549</v>
      </c>
      <c r="C542" t="s">
        <v>1339</v>
      </c>
      <c r="D542" t="s">
        <v>1381</v>
      </c>
      <c r="E542" t="s">
        <v>1439</v>
      </c>
      <c r="F542" t="s">
        <v>1973</v>
      </c>
      <c r="G542" t="b">
        <v>1</v>
      </c>
      <c r="H542">
        <f>HYPERLINK("https://athena.uww.org/media/cache/person_default/uploads/images/crop/5db1731169a7a285072225.png")</f>
        <v>0</v>
      </c>
      <c r="I542">
        <f>HYPERLINK("https://athena.uww.org/p/71077")</f>
        <v>0</v>
      </c>
    </row>
    <row r="543" spans="1:9">
      <c r="A543">
        <v>5082</v>
      </c>
      <c r="B543" t="s">
        <v>550</v>
      </c>
      <c r="C543" t="s">
        <v>1339</v>
      </c>
      <c r="D543" t="s">
        <v>1381</v>
      </c>
      <c r="E543" t="s">
        <v>1439</v>
      </c>
      <c r="F543" t="s">
        <v>1974</v>
      </c>
      <c r="G543" t="b">
        <v>1</v>
      </c>
      <c r="H543">
        <f>HYPERLINK("https://athena.uww.org/media/cache/person_default/uploads/images/56af79d1d69ec.jpg")</f>
        <v>0</v>
      </c>
      <c r="I543">
        <f>HYPERLINK("https://athena.uww.org/p/5082")</f>
        <v>0</v>
      </c>
    </row>
    <row r="544" spans="1:9">
      <c r="A544">
        <v>5398</v>
      </c>
      <c r="B544" t="s">
        <v>551</v>
      </c>
      <c r="C544" t="s">
        <v>1339</v>
      </c>
      <c r="D544" t="s">
        <v>1381</v>
      </c>
      <c r="E544" t="s">
        <v>1439</v>
      </c>
      <c r="F544" t="s">
        <v>1975</v>
      </c>
      <c r="G544" t="b">
        <v>1</v>
      </c>
      <c r="H544">
        <f>HYPERLINK("https://athena.uww.org/media/cache/person_default/uploads/images/56efa4e43a762.jpg")</f>
        <v>0</v>
      </c>
      <c r="I544">
        <f>HYPERLINK("https://athena.uww.org/p/5398")</f>
        <v>0</v>
      </c>
    </row>
    <row r="545" spans="1:9">
      <c r="A545">
        <v>87000</v>
      </c>
      <c r="B545" t="s">
        <v>552</v>
      </c>
      <c r="C545" t="s">
        <v>1339</v>
      </c>
      <c r="D545" t="s">
        <v>1381</v>
      </c>
      <c r="E545" t="s">
        <v>1439</v>
      </c>
      <c r="F545" t="s">
        <v>1976</v>
      </c>
      <c r="G545" t="b">
        <v>1</v>
      </c>
      <c r="H545">
        <f>HYPERLINK("https://athena.uww.org/media/cache/person_default/uploads/images/6564b40d8ce27182611090.jpeg")</f>
        <v>0</v>
      </c>
      <c r="I545">
        <f>HYPERLINK("https://athena.uww.org/p/87000")</f>
        <v>0</v>
      </c>
    </row>
    <row r="546" spans="1:9">
      <c r="A546">
        <v>5186</v>
      </c>
      <c r="B546" t="s">
        <v>553</v>
      </c>
      <c r="C546" t="s">
        <v>1339</v>
      </c>
      <c r="D546" t="s">
        <v>1381</v>
      </c>
      <c r="E546" t="s">
        <v>1439</v>
      </c>
      <c r="F546" t="s">
        <v>1977</v>
      </c>
      <c r="G546" t="b">
        <v>1</v>
      </c>
      <c r="H546">
        <f>HYPERLINK("https://athena.uww.org/media/cache/person_default/uploads/images/56af76465e1ba.jpg")</f>
        <v>0</v>
      </c>
      <c r="I546">
        <f>HYPERLINK("https://athena.uww.org/p/5186")</f>
        <v>0</v>
      </c>
    </row>
    <row r="547" spans="1:9">
      <c r="A547">
        <v>87363</v>
      </c>
      <c r="B547" t="s">
        <v>554</v>
      </c>
      <c r="C547" t="s">
        <v>1339</v>
      </c>
      <c r="D547" t="s">
        <v>1381</v>
      </c>
      <c r="E547" t="s">
        <v>1439</v>
      </c>
      <c r="F547" t="s">
        <v>1978</v>
      </c>
      <c r="G547" t="b">
        <v>1</v>
      </c>
      <c r="H547">
        <f>HYPERLINK("https://athena.uww.org/media/cache/person_default/uploads/images/crop/635253021de98527054019.png")</f>
        <v>0</v>
      </c>
      <c r="I547">
        <f>HYPERLINK("https://athena.uww.org/p/87363")</f>
        <v>0</v>
      </c>
    </row>
    <row r="548" spans="1:9">
      <c r="A548">
        <v>80596</v>
      </c>
      <c r="B548" t="s">
        <v>555</v>
      </c>
      <c r="C548" t="s">
        <v>1339</v>
      </c>
      <c r="D548" t="s">
        <v>1381</v>
      </c>
      <c r="E548" t="s">
        <v>1439</v>
      </c>
      <c r="F548" t="s">
        <v>1979</v>
      </c>
      <c r="G548" t="b">
        <v>1</v>
      </c>
      <c r="H548">
        <f>HYPERLINK("https://athena.uww.org/media/cache/person_default/uploads/images/crop/62177dbaa8f74935629367.png")</f>
        <v>0</v>
      </c>
      <c r="I548">
        <f>HYPERLINK("https://athena.uww.org/p/80596")</f>
        <v>0</v>
      </c>
    </row>
    <row r="549" spans="1:9">
      <c r="A549">
        <v>16666</v>
      </c>
      <c r="B549" t="s">
        <v>556</v>
      </c>
      <c r="C549" t="s">
        <v>1339</v>
      </c>
      <c r="D549" t="s">
        <v>1381</v>
      </c>
      <c r="E549" t="s">
        <v>1439</v>
      </c>
      <c r="F549" t="s">
        <v>1980</v>
      </c>
      <c r="G549" t="b">
        <v>1</v>
      </c>
      <c r="H549">
        <f>HYPERLINK("https://athena.uww.org/media/cache/person_default/uploads/images/1066130184001.jpg")</f>
        <v>0</v>
      </c>
      <c r="I549">
        <f>HYPERLINK("https://athena.uww.org/p/16666")</f>
        <v>0</v>
      </c>
    </row>
    <row r="550" spans="1:9">
      <c r="A550">
        <v>5379</v>
      </c>
      <c r="B550" t="s">
        <v>557</v>
      </c>
      <c r="C550" t="s">
        <v>1339</v>
      </c>
      <c r="D550" t="s">
        <v>1381</v>
      </c>
      <c r="E550" t="s">
        <v>1439</v>
      </c>
      <c r="F550" t="s">
        <v>1981</v>
      </c>
      <c r="G550" t="b">
        <v>1</v>
      </c>
      <c r="H550">
        <f>HYPERLINK("https://athena.uww.org/media/cache/person_default/uploads/images/56efa69f5c1fe.jpg")</f>
        <v>0</v>
      </c>
      <c r="I550">
        <f>HYPERLINK("https://athena.uww.org/p/5379")</f>
        <v>0</v>
      </c>
    </row>
    <row r="551" spans="1:9">
      <c r="A551">
        <v>87278</v>
      </c>
      <c r="B551" t="s">
        <v>558</v>
      </c>
      <c r="C551" t="s">
        <v>1339</v>
      </c>
      <c r="D551" t="s">
        <v>1381</v>
      </c>
      <c r="E551" t="s">
        <v>1439</v>
      </c>
      <c r="F551" t="s">
        <v>1982</v>
      </c>
      <c r="G551" t="b">
        <v>1</v>
      </c>
      <c r="H551">
        <f>HYPERLINK("https://athena.uww.org/media/cache/person_default/uploads/images/crop/635253337c6d0042629471.png")</f>
        <v>0</v>
      </c>
      <c r="I551">
        <f>HYPERLINK("https://athena.uww.org/p/87278")</f>
        <v>0</v>
      </c>
    </row>
    <row r="552" spans="1:9">
      <c r="A552">
        <v>5301</v>
      </c>
      <c r="B552" t="s">
        <v>559</v>
      </c>
      <c r="C552" t="s">
        <v>1339</v>
      </c>
      <c r="D552" t="s">
        <v>1381</v>
      </c>
      <c r="E552" t="s">
        <v>1439</v>
      </c>
      <c r="F552" t="s">
        <v>1983</v>
      </c>
      <c r="G552" t="b">
        <v>1</v>
      </c>
      <c r="H552">
        <f>HYPERLINK("https://athena.uww.org/media/cache/person_default/uploads/images/crop/572701dc99f7f.png")</f>
        <v>0</v>
      </c>
      <c r="I552">
        <f>HYPERLINK("https://athena.uww.org/p/5301")</f>
        <v>0</v>
      </c>
    </row>
    <row r="553" spans="1:9">
      <c r="A553">
        <v>96152</v>
      </c>
      <c r="B553" t="s">
        <v>560</v>
      </c>
      <c r="C553" t="s">
        <v>1339</v>
      </c>
      <c r="D553" t="s">
        <v>1381</v>
      </c>
      <c r="E553" t="s">
        <v>1442</v>
      </c>
      <c r="F553" t="s">
        <v>1984</v>
      </c>
      <c r="G553" t="b">
        <v>1</v>
      </c>
      <c r="H553">
        <f>HYPERLINK("https://athena.uww.org/media/cache/person_default/uploads/images/crop/6557686f65f31179115754.png")</f>
        <v>0</v>
      </c>
      <c r="I553">
        <f>HYPERLINK("https://athena.uww.org/p/96152")</f>
        <v>0</v>
      </c>
    </row>
    <row r="554" spans="1:9">
      <c r="A554">
        <v>19377</v>
      </c>
      <c r="B554" t="s">
        <v>561</v>
      </c>
      <c r="C554" t="s">
        <v>1339</v>
      </c>
      <c r="D554" t="s">
        <v>1381</v>
      </c>
      <c r="E554" t="s">
        <v>1442</v>
      </c>
      <c r="F554" t="s">
        <v>1985</v>
      </c>
      <c r="G554" t="b">
        <v>1</v>
      </c>
      <c r="H554">
        <f>HYPERLINK("https://athena.uww.org/media/cache/person_default/uploads/images/1066250793001.jpg")</f>
        <v>0</v>
      </c>
      <c r="I554">
        <f>HYPERLINK("https://athena.uww.org/p/19377")</f>
        <v>0</v>
      </c>
    </row>
    <row r="555" spans="1:9">
      <c r="A555">
        <v>5378</v>
      </c>
      <c r="B555" t="s">
        <v>562</v>
      </c>
      <c r="C555" t="s">
        <v>1339</v>
      </c>
      <c r="D555" t="s">
        <v>1381</v>
      </c>
      <c r="E555" t="s">
        <v>1442</v>
      </c>
      <c r="F555" t="s">
        <v>1986</v>
      </c>
      <c r="G555" t="b">
        <v>1</v>
      </c>
      <c r="H555">
        <f>HYPERLINK("https://athena.uww.org/media/cache/person_default/uploads/images/56af76e40b7e5.jpg")</f>
        <v>0</v>
      </c>
      <c r="I555">
        <f>HYPERLINK("https://athena.uww.org/p/5378")</f>
        <v>0</v>
      </c>
    </row>
    <row r="556" spans="1:9">
      <c r="A556">
        <v>4759</v>
      </c>
      <c r="B556" t="s">
        <v>563</v>
      </c>
      <c r="C556" t="s">
        <v>1339</v>
      </c>
      <c r="D556" t="s">
        <v>1381</v>
      </c>
      <c r="E556" t="s">
        <v>1442</v>
      </c>
      <c r="F556" t="s">
        <v>1987</v>
      </c>
      <c r="G556" t="b">
        <v>0</v>
      </c>
      <c r="H556">
        <f>HYPERLINK("https://athena.uww.org/media/cache/person_default/uploads/images/referee-4759.jpg")</f>
        <v>0</v>
      </c>
      <c r="I556">
        <f>HYPERLINK("https://athena.uww.org/p/4759")</f>
        <v>0</v>
      </c>
    </row>
    <row r="557" spans="1:9">
      <c r="A557">
        <v>80593</v>
      </c>
      <c r="B557" t="s">
        <v>564</v>
      </c>
      <c r="C557" t="s">
        <v>1339</v>
      </c>
      <c r="D557" t="s">
        <v>1381</v>
      </c>
      <c r="E557" t="s">
        <v>1442</v>
      </c>
      <c r="F557" t="s">
        <v>1988</v>
      </c>
      <c r="G557" t="b">
        <v>1</v>
      </c>
      <c r="H557">
        <f>HYPERLINK("https://athena.uww.org/media/cache/person_default/uploads/images/crop/62177d3404fb9900556358.png")</f>
        <v>0</v>
      </c>
      <c r="I557">
        <f>HYPERLINK("https://athena.uww.org/p/80593")</f>
        <v>0</v>
      </c>
    </row>
    <row r="558" spans="1:9">
      <c r="A558">
        <v>5572</v>
      </c>
      <c r="B558" t="s">
        <v>565</v>
      </c>
      <c r="C558" t="s">
        <v>1339</v>
      </c>
      <c r="D558" t="s">
        <v>1381</v>
      </c>
      <c r="E558" t="s">
        <v>1442</v>
      </c>
      <c r="F558" t="s">
        <v>1989</v>
      </c>
      <c r="G558" t="b">
        <v>1</v>
      </c>
      <c r="H558">
        <f>HYPERLINK("https://athena.uww.org/media/cache/person_default/uploads/images/crop/5e15d21bb8ad6011319699.png")</f>
        <v>0</v>
      </c>
      <c r="I558">
        <f>HYPERLINK("https://athena.uww.org/p/5572")</f>
        <v>0</v>
      </c>
    </row>
    <row r="559" spans="1:9">
      <c r="A559">
        <v>80594</v>
      </c>
      <c r="B559" t="s">
        <v>566</v>
      </c>
      <c r="C559" t="s">
        <v>1339</v>
      </c>
      <c r="D559" t="s">
        <v>1381</v>
      </c>
      <c r="E559" t="s">
        <v>1442</v>
      </c>
      <c r="F559" t="s">
        <v>1990</v>
      </c>
      <c r="G559" t="b">
        <v>1</v>
      </c>
      <c r="H559">
        <f>HYPERLINK("https://athena.uww.org/media/cache/person_default/uploads/images/crop/62177d64b8c87796360789.png")</f>
        <v>0</v>
      </c>
      <c r="I559">
        <f>HYPERLINK("https://athena.uww.org/p/80594")</f>
        <v>0</v>
      </c>
    </row>
    <row r="560" spans="1:9">
      <c r="A560">
        <v>96134</v>
      </c>
      <c r="B560" t="s">
        <v>567</v>
      </c>
      <c r="C560" t="s">
        <v>1339</v>
      </c>
      <c r="D560" t="s">
        <v>1381</v>
      </c>
      <c r="E560" t="s">
        <v>1442</v>
      </c>
      <c r="F560" t="s">
        <v>1991</v>
      </c>
      <c r="G560" t="b">
        <v>1</v>
      </c>
      <c r="H560">
        <f>HYPERLINK("https://athena.uww.org/media/cache/person_default/uploads/images/655394aaa2d0d950917742.jpeg")</f>
        <v>0</v>
      </c>
      <c r="I560">
        <f>HYPERLINK("https://athena.uww.org/p/96134")</f>
        <v>0</v>
      </c>
    </row>
    <row r="561" spans="1:9">
      <c r="A561">
        <v>21375</v>
      </c>
      <c r="B561" t="s">
        <v>568</v>
      </c>
      <c r="C561" t="s">
        <v>1339</v>
      </c>
      <c r="D561" t="s">
        <v>1381</v>
      </c>
      <c r="E561" t="s">
        <v>1442</v>
      </c>
      <c r="F561" t="s">
        <v>1992</v>
      </c>
      <c r="G561" t="b">
        <v>1</v>
      </c>
      <c r="H561">
        <f>HYPERLINK("https://athena.uww.org/media/cache/person_default/uploads/images/crop/634fa2bc95ad5768898397.png")</f>
        <v>0</v>
      </c>
      <c r="I561">
        <f>HYPERLINK("https://athena.uww.org/p/21375")</f>
        <v>0</v>
      </c>
    </row>
    <row r="562" spans="1:9">
      <c r="A562">
        <v>4381</v>
      </c>
      <c r="B562" t="s">
        <v>569</v>
      </c>
      <c r="C562" t="s">
        <v>1339</v>
      </c>
      <c r="D562" t="s">
        <v>1381</v>
      </c>
      <c r="E562" t="s">
        <v>1442</v>
      </c>
      <c r="F562" t="s">
        <v>1993</v>
      </c>
      <c r="G562" t="b">
        <v>0</v>
      </c>
      <c r="H562">
        <f>HYPERLINK("https://athena.uww.org/media/cache/person_default/uploads/images/66587578a9a59860959333.jpeg")</f>
        <v>0</v>
      </c>
      <c r="I562">
        <f>HYPERLINK("https://athena.uww.org/p/4381")</f>
        <v>0</v>
      </c>
    </row>
    <row r="563" spans="1:9">
      <c r="A563">
        <v>11512</v>
      </c>
      <c r="B563" t="s">
        <v>570</v>
      </c>
      <c r="C563" t="s">
        <v>1339</v>
      </c>
      <c r="D563" t="s">
        <v>1381</v>
      </c>
      <c r="E563" t="s">
        <v>1442</v>
      </c>
      <c r="F563" t="s">
        <v>1461</v>
      </c>
      <c r="G563" t="b">
        <v>1</v>
      </c>
      <c r="H563">
        <f>HYPERLINK("https://athena.uww.org/media/cache/person_default/uploads/images/1066090684001.jpg")</f>
        <v>0</v>
      </c>
      <c r="I563">
        <f>HYPERLINK("https://athena.uww.org/p/11512")</f>
        <v>0</v>
      </c>
    </row>
    <row r="564" spans="1:9">
      <c r="A564">
        <v>96185</v>
      </c>
      <c r="B564" t="s">
        <v>571</v>
      </c>
      <c r="C564" t="s">
        <v>1339</v>
      </c>
      <c r="D564" t="s">
        <v>1381</v>
      </c>
      <c r="E564" t="s">
        <v>1442</v>
      </c>
      <c r="F564" t="s">
        <v>1994</v>
      </c>
      <c r="G564" t="b">
        <v>1</v>
      </c>
      <c r="H564">
        <f>HYPERLINK("https://athena.uww.org/media/cache/person_default/uploads/images/crop/655769a1de313658730884.png")</f>
        <v>0</v>
      </c>
      <c r="I564">
        <f>HYPERLINK("https://athena.uww.org/p/96185")</f>
        <v>0</v>
      </c>
    </row>
    <row r="565" spans="1:9">
      <c r="A565">
        <v>96138</v>
      </c>
      <c r="B565" t="s">
        <v>572</v>
      </c>
      <c r="C565" t="s">
        <v>1339</v>
      </c>
      <c r="D565" t="s">
        <v>1381</v>
      </c>
      <c r="E565" t="s">
        <v>1442</v>
      </c>
      <c r="F565" t="s">
        <v>1995</v>
      </c>
      <c r="G565" t="b">
        <v>1</v>
      </c>
      <c r="H565">
        <f>HYPERLINK("https://athena.uww.org/media/cache/person_default/uploads/images/6553d2835a841924582465.jpeg")</f>
        <v>0</v>
      </c>
      <c r="I565">
        <f>HYPERLINK("https://athena.uww.org/p/96138")</f>
        <v>0</v>
      </c>
    </row>
    <row r="566" spans="1:9">
      <c r="A566">
        <v>96136</v>
      </c>
      <c r="B566" t="s">
        <v>573</v>
      </c>
      <c r="C566" t="s">
        <v>1339</v>
      </c>
      <c r="D566" t="s">
        <v>1381</v>
      </c>
      <c r="E566" t="s">
        <v>1442</v>
      </c>
      <c r="F566" t="s">
        <v>1996</v>
      </c>
      <c r="G566" t="b">
        <v>1</v>
      </c>
      <c r="H566">
        <f>HYPERLINK("https://athena.uww.org/media/cache/person_default/uploads/images/655398e1553c9351198996.jpeg")</f>
        <v>0</v>
      </c>
      <c r="I566">
        <f>HYPERLINK("https://athena.uww.org/p/96136")</f>
        <v>0</v>
      </c>
    </row>
    <row r="567" spans="1:9">
      <c r="A567">
        <v>4827</v>
      </c>
      <c r="B567" t="s">
        <v>574</v>
      </c>
      <c r="C567" t="s">
        <v>1339</v>
      </c>
      <c r="D567" t="s">
        <v>1381</v>
      </c>
      <c r="E567" t="s">
        <v>1442</v>
      </c>
      <c r="F567" t="s">
        <v>1997</v>
      </c>
      <c r="G567" t="b">
        <v>1</v>
      </c>
      <c r="H567">
        <f>HYPERLINK("https://athena.uww.org/media/cache/person_default/uploads/images/referee-4827.jpg")</f>
        <v>0</v>
      </c>
      <c r="I567">
        <f>HYPERLINK("https://athena.uww.org/p/4827")</f>
        <v>0</v>
      </c>
    </row>
    <row r="568" spans="1:9">
      <c r="A568">
        <v>96124</v>
      </c>
      <c r="B568" t="s">
        <v>575</v>
      </c>
      <c r="C568" t="s">
        <v>1339</v>
      </c>
      <c r="D568" t="s">
        <v>1381</v>
      </c>
      <c r="E568" t="s">
        <v>1442</v>
      </c>
      <c r="F568" t="s">
        <v>1998</v>
      </c>
      <c r="G568" t="b">
        <v>1</v>
      </c>
      <c r="H568">
        <f>HYPERLINK("https://athena.uww.org/media/cache/person_default/uploads/images/crop/655461bbd4216523327287.png")</f>
        <v>0</v>
      </c>
      <c r="I568">
        <f>HYPERLINK("https://athena.uww.org/p/96124")</f>
        <v>0</v>
      </c>
    </row>
    <row r="569" spans="1:9">
      <c r="A569">
        <v>96135</v>
      </c>
      <c r="B569" t="s">
        <v>576</v>
      </c>
      <c r="C569" t="s">
        <v>1339</v>
      </c>
      <c r="D569" t="s">
        <v>1381</v>
      </c>
      <c r="E569" t="s">
        <v>1442</v>
      </c>
      <c r="F569" t="s">
        <v>1999</v>
      </c>
      <c r="G569" t="b">
        <v>1</v>
      </c>
      <c r="H569">
        <f>HYPERLINK("https://athena.uww.org/media/cache/person_default/uploads/images/6553960241888076366780.jpeg")</f>
        <v>0</v>
      </c>
      <c r="I569">
        <f>HYPERLINK("https://athena.uww.org/p/96135")</f>
        <v>0</v>
      </c>
    </row>
    <row r="570" spans="1:9">
      <c r="A570">
        <v>67644</v>
      </c>
      <c r="B570" t="s">
        <v>577</v>
      </c>
      <c r="C570" t="s">
        <v>1340</v>
      </c>
      <c r="D570" t="s">
        <v>1382</v>
      </c>
      <c r="E570" t="s">
        <v>1441</v>
      </c>
      <c r="F570" t="s">
        <v>2000</v>
      </c>
      <c r="G570" t="b">
        <v>1</v>
      </c>
      <c r="H570">
        <f>HYPERLINK("https://athena.uww.org/media/cache/person_default/uploads/images/crop/5d2438640c708517965137.png")</f>
        <v>0</v>
      </c>
      <c r="I570">
        <f>HYPERLINK("https://athena.uww.org/p/67644")</f>
        <v>0</v>
      </c>
    </row>
    <row r="571" spans="1:9">
      <c r="A571">
        <v>55994</v>
      </c>
      <c r="B571" t="s">
        <v>578</v>
      </c>
      <c r="C571" t="s">
        <v>1339</v>
      </c>
      <c r="D571" t="s">
        <v>1382</v>
      </c>
      <c r="E571" t="s">
        <v>1441</v>
      </c>
      <c r="F571" t="s">
        <v>1498</v>
      </c>
      <c r="G571" t="b">
        <v>1</v>
      </c>
      <c r="H571">
        <f>HYPERLINK("https://athena.uww.org/media/cache/person_default/uploads/images/crop/5b1e10e8036fa.png")</f>
        <v>0</v>
      </c>
      <c r="I571">
        <f>HYPERLINK("https://athena.uww.org/p/55994")</f>
        <v>0</v>
      </c>
    </row>
    <row r="572" spans="1:9">
      <c r="A572">
        <v>30851</v>
      </c>
      <c r="B572" t="s">
        <v>579</v>
      </c>
      <c r="C572" t="s">
        <v>1339</v>
      </c>
      <c r="D572" t="s">
        <v>1382</v>
      </c>
      <c r="E572" t="s">
        <v>1439</v>
      </c>
      <c r="F572" t="s">
        <v>2001</v>
      </c>
      <c r="G572" t="b">
        <v>1</v>
      </c>
      <c r="H572">
        <f>HYPERLINK("https://athena.uww.org/media/cache/person_default/uploads/images/1069191186001.jpg")</f>
        <v>0</v>
      </c>
      <c r="I572">
        <f>HYPERLINK("https://athena.uww.org/p/30851")</f>
        <v>0</v>
      </c>
    </row>
    <row r="573" spans="1:9">
      <c r="A573">
        <v>46582</v>
      </c>
      <c r="B573" t="s">
        <v>580</v>
      </c>
      <c r="C573" t="s">
        <v>1339</v>
      </c>
      <c r="D573" t="s">
        <v>1382</v>
      </c>
      <c r="E573" t="s">
        <v>1439</v>
      </c>
      <c r="F573" t="s">
        <v>2002</v>
      </c>
      <c r="G573" t="b">
        <v>1</v>
      </c>
      <c r="H573">
        <f>HYPERLINK("https://athena.uww.org/media/cache/person_default/uploads/images/crop/59a57af4a067f.png")</f>
        <v>0</v>
      </c>
      <c r="I573">
        <f>HYPERLINK("https://athena.uww.org/p/46582")</f>
        <v>0</v>
      </c>
    </row>
    <row r="574" spans="1:9">
      <c r="A574">
        <v>4749</v>
      </c>
      <c r="B574" t="s">
        <v>581</v>
      </c>
      <c r="C574" t="s">
        <v>1339</v>
      </c>
      <c r="D574" t="s">
        <v>1382</v>
      </c>
      <c r="E574" t="s">
        <v>1442</v>
      </c>
      <c r="F574" t="s">
        <v>2003</v>
      </c>
      <c r="G574" t="b">
        <v>1</v>
      </c>
      <c r="H574">
        <f>HYPERLINK("https://athena.uww.org/media/cache/person_default/uploads/images/referee-4749.jpg")</f>
        <v>0</v>
      </c>
      <c r="I574">
        <f>HYPERLINK("https://athena.uww.org/p/4749")</f>
        <v>0</v>
      </c>
    </row>
    <row r="575" spans="1:9">
      <c r="A575">
        <v>74624</v>
      </c>
      <c r="B575" t="s">
        <v>582</v>
      </c>
      <c r="C575" t="s">
        <v>1339</v>
      </c>
      <c r="D575" t="s">
        <v>1382</v>
      </c>
      <c r="E575" t="s">
        <v>1442</v>
      </c>
      <c r="F575" t="s">
        <v>2004</v>
      </c>
      <c r="G575" t="b">
        <v>1</v>
      </c>
      <c r="H575">
        <f>HYPERLINK("https://athena.uww.org/media/cache/person_default/uploads/images/607542ed4f883397257525.jpg")</f>
        <v>0</v>
      </c>
      <c r="I575">
        <f>HYPERLINK("https://athena.uww.org/p/74624")</f>
        <v>0</v>
      </c>
    </row>
    <row r="576" spans="1:9">
      <c r="A576">
        <v>21347</v>
      </c>
      <c r="B576" t="s">
        <v>583</v>
      </c>
      <c r="C576" t="s">
        <v>1339</v>
      </c>
      <c r="D576" t="s">
        <v>1382</v>
      </c>
      <c r="E576" t="s">
        <v>1442</v>
      </c>
      <c r="F576" t="s">
        <v>2005</v>
      </c>
      <c r="G576" t="b">
        <v>1</v>
      </c>
      <c r="H576">
        <f>HYPERLINK("https://athena.uww.org/media/cache/person_default/uploads/images/crop/61b8b9452a621967098628.png")</f>
        <v>0</v>
      </c>
      <c r="I576">
        <f>HYPERLINK("https://athena.uww.org/p/21347")</f>
        <v>0</v>
      </c>
    </row>
    <row r="577" spans="1:9">
      <c r="A577">
        <v>5171</v>
      </c>
      <c r="B577" t="s">
        <v>584</v>
      </c>
      <c r="C577" t="s">
        <v>1339</v>
      </c>
      <c r="D577" t="s">
        <v>1382</v>
      </c>
      <c r="E577" t="s">
        <v>1442</v>
      </c>
      <c r="F577" t="s">
        <v>2006</v>
      </c>
      <c r="G577" t="b">
        <v>1</v>
      </c>
      <c r="H577">
        <f>HYPERLINK("https://athena.uww.org/media/cache/person_default/uploads/images/referee-5171.jpg")</f>
        <v>0</v>
      </c>
      <c r="I577">
        <f>HYPERLINK("https://athena.uww.org/p/5171")</f>
        <v>0</v>
      </c>
    </row>
    <row r="578" spans="1:9">
      <c r="A578">
        <v>5538</v>
      </c>
      <c r="B578" t="s">
        <v>585</v>
      </c>
      <c r="C578" t="s">
        <v>1340</v>
      </c>
      <c r="D578" t="s">
        <v>1383</v>
      </c>
      <c r="E578" t="s">
        <v>1440</v>
      </c>
      <c r="F578" t="s">
        <v>2007</v>
      </c>
      <c r="G578" t="b">
        <v>1</v>
      </c>
      <c r="H578">
        <f>HYPERLINK("https://athena.uww.org/media/cache/person_default/uploads/images/crop/63cb9c9070a4a157389389.png")</f>
        <v>0</v>
      </c>
      <c r="I578">
        <f>HYPERLINK("https://athena.uww.org/p/5538")</f>
        <v>0</v>
      </c>
    </row>
    <row r="579" spans="1:9">
      <c r="A579">
        <v>5105</v>
      </c>
      <c r="B579" t="s">
        <v>586</v>
      </c>
      <c r="C579" t="s">
        <v>1339</v>
      </c>
      <c r="D579" t="s">
        <v>1383</v>
      </c>
      <c r="E579" t="s">
        <v>1440</v>
      </c>
      <c r="F579" t="s">
        <v>2008</v>
      </c>
      <c r="G579" t="b">
        <v>1</v>
      </c>
      <c r="H579">
        <f>HYPERLINK("https://athena.uww.org/media/cache/person_default/uploads/images/crop/63cb9c65cc892480681420.png")</f>
        <v>0</v>
      </c>
      <c r="I579">
        <f>HYPERLINK("https://athena.uww.org/p/5105")</f>
        <v>0</v>
      </c>
    </row>
    <row r="580" spans="1:9">
      <c r="A580">
        <v>29948</v>
      </c>
      <c r="B580" t="s">
        <v>587</v>
      </c>
      <c r="C580" t="s">
        <v>1340</v>
      </c>
      <c r="D580" t="s">
        <v>1383</v>
      </c>
      <c r="E580" t="s">
        <v>1441</v>
      </c>
      <c r="F580" t="s">
        <v>2009</v>
      </c>
      <c r="G580" t="b">
        <v>1</v>
      </c>
      <c r="H580">
        <f>HYPERLINK("https://athena.uww.org/media/cache/person_default/uploads/images/crop/59db92df098c3.png")</f>
        <v>0</v>
      </c>
      <c r="I580">
        <f>HYPERLINK("https://athena.uww.org/p/29948")</f>
        <v>0</v>
      </c>
    </row>
    <row r="581" spans="1:9">
      <c r="A581">
        <v>5104</v>
      </c>
      <c r="B581" t="s">
        <v>588</v>
      </c>
      <c r="C581" t="s">
        <v>1339</v>
      </c>
      <c r="D581" t="s">
        <v>1383</v>
      </c>
      <c r="E581" t="s">
        <v>1441</v>
      </c>
      <c r="F581" t="s">
        <v>2010</v>
      </c>
      <c r="G581" t="b">
        <v>1</v>
      </c>
      <c r="H581">
        <f>HYPERLINK("https://athena.uww.org/media/cache/person_default/uploads/images/referee-5104.jpg")</f>
        <v>0</v>
      </c>
      <c r="I581">
        <f>HYPERLINK("https://athena.uww.org/p/5104")</f>
        <v>0</v>
      </c>
    </row>
    <row r="582" spans="1:9">
      <c r="A582">
        <v>51270</v>
      </c>
      <c r="B582" t="s">
        <v>589</v>
      </c>
      <c r="C582" t="s">
        <v>1339</v>
      </c>
      <c r="D582" t="s">
        <v>1383</v>
      </c>
      <c r="E582" t="s">
        <v>1441</v>
      </c>
      <c r="F582" t="s">
        <v>2011</v>
      </c>
      <c r="G582" t="b">
        <v>1</v>
      </c>
      <c r="H582">
        <f>HYPERLINK("https://athena.uww.org/media/cache/person_default/uploads/images/crop/59b0fa48736da.png")</f>
        <v>0</v>
      </c>
      <c r="I582">
        <f>HYPERLINK("https://athena.uww.org/p/51270")</f>
        <v>0</v>
      </c>
    </row>
    <row r="583" spans="1:9">
      <c r="A583">
        <v>71962</v>
      </c>
      <c r="B583" t="s">
        <v>590</v>
      </c>
      <c r="C583" t="s">
        <v>1340</v>
      </c>
      <c r="D583" t="s">
        <v>1383</v>
      </c>
      <c r="E583" t="s">
        <v>1439</v>
      </c>
      <c r="F583" t="s">
        <v>2012</v>
      </c>
      <c r="G583" t="b">
        <v>1</v>
      </c>
      <c r="H583">
        <f>HYPERLINK("https://athena.uww.org/media/cache/person_default/uploads/images/crop/6311a77b20c01183967192.png")</f>
        <v>0</v>
      </c>
      <c r="I583">
        <f>HYPERLINK("https://athena.uww.org/p/71962")</f>
        <v>0</v>
      </c>
    </row>
    <row r="584" spans="1:9">
      <c r="A584">
        <v>5540</v>
      </c>
      <c r="B584" t="s">
        <v>591</v>
      </c>
      <c r="C584" t="s">
        <v>1339</v>
      </c>
      <c r="D584" t="s">
        <v>1383</v>
      </c>
      <c r="E584" t="s">
        <v>1439</v>
      </c>
      <c r="F584" t="s">
        <v>2013</v>
      </c>
      <c r="G584" t="b">
        <v>1</v>
      </c>
      <c r="H584">
        <f>HYPERLINK("https://athena.uww.org/media/cache/person_default/uploads/images/referee-5540.jpg")</f>
        <v>0</v>
      </c>
      <c r="I584">
        <f>HYPERLINK("https://athena.uww.org/p/5540")</f>
        <v>0</v>
      </c>
    </row>
    <row r="585" spans="1:9">
      <c r="A585">
        <v>86273</v>
      </c>
      <c r="B585" t="s">
        <v>592</v>
      </c>
      <c r="C585" t="s">
        <v>1340</v>
      </c>
      <c r="D585" t="s">
        <v>1383</v>
      </c>
      <c r="E585" t="s">
        <v>1439</v>
      </c>
      <c r="F585" t="s">
        <v>2014</v>
      </c>
      <c r="G585" t="b">
        <v>1</v>
      </c>
      <c r="H585">
        <f>HYPERLINK("https://athena.uww.org/media/cache/person_default/uploads/images/crop/6311a82526a39088856334.png")</f>
        <v>0</v>
      </c>
      <c r="I585">
        <f>HYPERLINK("https://athena.uww.org/p/86273")</f>
        <v>0</v>
      </c>
    </row>
    <row r="586" spans="1:9">
      <c r="A586">
        <v>5541</v>
      </c>
      <c r="B586" t="s">
        <v>593</v>
      </c>
      <c r="C586" t="s">
        <v>1339</v>
      </c>
      <c r="D586" t="s">
        <v>1383</v>
      </c>
      <c r="E586" t="s">
        <v>1439</v>
      </c>
      <c r="F586" t="s">
        <v>2015</v>
      </c>
      <c r="G586" t="b">
        <v>1</v>
      </c>
      <c r="H586">
        <f>HYPERLINK("https://athena.uww.org/media/cache/person_default/uploads/images/56cd8e325ebed.jpg")</f>
        <v>0</v>
      </c>
      <c r="I586">
        <f>HYPERLINK("https://athena.uww.org/p/5541")</f>
        <v>0</v>
      </c>
    </row>
    <row r="587" spans="1:9">
      <c r="A587">
        <v>19729</v>
      </c>
      <c r="B587" t="s">
        <v>594</v>
      </c>
      <c r="C587" t="s">
        <v>1340</v>
      </c>
      <c r="D587" t="s">
        <v>1383</v>
      </c>
      <c r="E587" t="s">
        <v>1442</v>
      </c>
      <c r="F587" t="s">
        <v>2016</v>
      </c>
      <c r="G587" t="b">
        <v>1</v>
      </c>
      <c r="H587">
        <f>HYPERLINK("https://athena.uww.org/media/cache/person_default/uploads/images/crop/58dd039bdcadd.png")</f>
        <v>0</v>
      </c>
      <c r="I587">
        <f>HYPERLINK("https://athena.uww.org/p/19729")</f>
        <v>0</v>
      </c>
    </row>
    <row r="588" spans="1:9">
      <c r="A588">
        <v>4647</v>
      </c>
      <c r="B588" t="s">
        <v>595</v>
      </c>
      <c r="C588" t="s">
        <v>1339</v>
      </c>
      <c r="D588" t="s">
        <v>1383</v>
      </c>
      <c r="E588" t="s">
        <v>1442</v>
      </c>
      <c r="F588" t="s">
        <v>2017</v>
      </c>
      <c r="G588" t="b">
        <v>0</v>
      </c>
      <c r="H588">
        <f>HYPERLINK("https://athena.uww.org/media/cache/person_default/uploads/images/referee-4647.jpg")</f>
        <v>0</v>
      </c>
      <c r="I588">
        <f>HYPERLINK("https://athena.uww.org/p/4647")</f>
        <v>0</v>
      </c>
    </row>
    <row r="589" spans="1:9">
      <c r="A589">
        <v>4588</v>
      </c>
      <c r="B589" t="s">
        <v>596</v>
      </c>
      <c r="C589" t="s">
        <v>1339</v>
      </c>
      <c r="D589" t="s">
        <v>1383</v>
      </c>
      <c r="E589" t="s">
        <v>1442</v>
      </c>
      <c r="F589" t="s">
        <v>2018</v>
      </c>
      <c r="G589" t="b">
        <v>1</v>
      </c>
      <c r="H589">
        <f>HYPERLINK("https://athena.uww.org/media/cache/person_default/uploads/images/56cd8d62a52ae.jpg")</f>
        <v>0</v>
      </c>
      <c r="I589">
        <f>HYPERLINK("https://athena.uww.org/p/4588")</f>
        <v>0</v>
      </c>
    </row>
    <row r="590" spans="1:9">
      <c r="A590">
        <v>4295</v>
      </c>
      <c r="B590" t="s">
        <v>597</v>
      </c>
      <c r="C590" t="s">
        <v>1339</v>
      </c>
      <c r="D590" t="s">
        <v>1384</v>
      </c>
      <c r="E590" t="s">
        <v>1440</v>
      </c>
      <c r="F590" t="s">
        <v>2019</v>
      </c>
      <c r="G590" t="b">
        <v>1</v>
      </c>
      <c r="H590">
        <f>HYPERLINK("https://athena.uww.org/media/cache/person_default/uploads/images/crop/64cc9d216f5a1319781075.png")</f>
        <v>0</v>
      </c>
      <c r="I590">
        <f>HYPERLINK("https://athena.uww.org/p/4295")</f>
        <v>0</v>
      </c>
    </row>
    <row r="591" spans="1:9">
      <c r="A591">
        <v>5406</v>
      </c>
      <c r="B591" t="s">
        <v>598</v>
      </c>
      <c r="C591" t="s">
        <v>1339</v>
      </c>
      <c r="D591" t="s">
        <v>1384</v>
      </c>
      <c r="E591" t="s">
        <v>1440</v>
      </c>
      <c r="F591" t="s">
        <v>2020</v>
      </c>
      <c r="G591" t="b">
        <v>1</v>
      </c>
      <c r="H591">
        <f>HYPERLINK("https://athena.uww.org/media/cache/person_default/uploads/images/crop/62ecbb80e2956288470938.png")</f>
        <v>0</v>
      </c>
      <c r="I591">
        <f>HYPERLINK("https://athena.uww.org/p/5406")</f>
        <v>0</v>
      </c>
    </row>
    <row r="592" spans="1:9">
      <c r="A592">
        <v>4372</v>
      </c>
      <c r="B592" t="s">
        <v>599</v>
      </c>
      <c r="C592" t="s">
        <v>1339</v>
      </c>
      <c r="D592" t="s">
        <v>1384</v>
      </c>
      <c r="E592" t="s">
        <v>1441</v>
      </c>
      <c r="F592" t="s">
        <v>2021</v>
      </c>
      <c r="G592" t="b">
        <v>1</v>
      </c>
      <c r="H592">
        <f>HYPERLINK("https://athena.uww.org/media/cache/person_default/uploads/images/crop/647d88a9c5a65644029450.png")</f>
        <v>0</v>
      </c>
      <c r="I592">
        <f>HYPERLINK("https://athena.uww.org/p/4372")</f>
        <v>0</v>
      </c>
    </row>
    <row r="593" spans="1:9">
      <c r="A593">
        <v>4790</v>
      </c>
      <c r="B593" t="s">
        <v>600</v>
      </c>
      <c r="C593" t="s">
        <v>1339</v>
      </c>
      <c r="D593" t="s">
        <v>1384</v>
      </c>
      <c r="E593" t="s">
        <v>1441</v>
      </c>
      <c r="F593" t="s">
        <v>1897</v>
      </c>
      <c r="G593" t="b">
        <v>1</v>
      </c>
      <c r="H593">
        <f>HYPERLINK("https://athena.uww.org/media/cache/person_default/uploads/images/6491b3668c0f3117952007.jpeg")</f>
        <v>0</v>
      </c>
      <c r="I593">
        <f>HYPERLINK("https://athena.uww.org/p/4790")</f>
        <v>0</v>
      </c>
    </row>
    <row r="594" spans="1:9">
      <c r="A594">
        <v>3889</v>
      </c>
      <c r="B594" t="s">
        <v>601</v>
      </c>
      <c r="C594" t="s">
        <v>1339</v>
      </c>
      <c r="D594" t="s">
        <v>1384</v>
      </c>
      <c r="E594" t="s">
        <v>1441</v>
      </c>
      <c r="F594" t="s">
        <v>2022</v>
      </c>
      <c r="G594" t="b">
        <v>1</v>
      </c>
      <c r="H594">
        <f>HYPERLINK("https://athena.uww.org/media/cache/person_default/uploads/images/568149bcde40d.jpg")</f>
        <v>0</v>
      </c>
      <c r="I594">
        <f>HYPERLINK("https://athena.uww.org/p/3889")</f>
        <v>0</v>
      </c>
    </row>
    <row r="595" spans="1:9">
      <c r="A595">
        <v>4601</v>
      </c>
      <c r="B595" t="s">
        <v>602</v>
      </c>
      <c r="C595" t="s">
        <v>1339</v>
      </c>
      <c r="D595" t="s">
        <v>1384</v>
      </c>
      <c r="E595" t="s">
        <v>1441</v>
      </c>
      <c r="F595" t="s">
        <v>2023</v>
      </c>
      <c r="G595" t="b">
        <v>1</v>
      </c>
      <c r="H595">
        <f>HYPERLINK("https://athena.uww.org/media/cache/person_default/uploads/images/56815091ec1e8.jpg")</f>
        <v>0</v>
      </c>
      <c r="I595">
        <f>HYPERLINK("https://athena.uww.org/p/4601")</f>
        <v>0</v>
      </c>
    </row>
    <row r="596" spans="1:9">
      <c r="A596">
        <v>11662</v>
      </c>
      <c r="B596" t="s">
        <v>603</v>
      </c>
      <c r="C596" t="s">
        <v>1339</v>
      </c>
      <c r="D596" t="s">
        <v>1384</v>
      </c>
      <c r="E596" t="s">
        <v>1439</v>
      </c>
      <c r="F596" t="s">
        <v>1869</v>
      </c>
      <c r="G596" t="b">
        <v>1</v>
      </c>
      <c r="H596">
        <f>HYPERLINK("https://athena.uww.org/media/cache/person_default/uploads/images/crop/66ebd52f1b174239507451.png")</f>
        <v>0</v>
      </c>
      <c r="I596">
        <f>HYPERLINK("https://athena.uww.org/p/11662")</f>
        <v>0</v>
      </c>
    </row>
    <row r="597" spans="1:9">
      <c r="A597">
        <v>5189</v>
      </c>
      <c r="B597" t="s">
        <v>604</v>
      </c>
      <c r="C597" t="s">
        <v>1339</v>
      </c>
      <c r="D597" t="s">
        <v>1384</v>
      </c>
      <c r="E597" t="s">
        <v>1439</v>
      </c>
      <c r="F597" t="s">
        <v>2024</v>
      </c>
      <c r="G597" t="b">
        <v>1</v>
      </c>
      <c r="H597">
        <f>HYPERLINK("https://athena.uww.org/media/cache/person_default/uploads/images/referee-5189.jpg")</f>
        <v>0</v>
      </c>
      <c r="I597">
        <f>HYPERLINK("https://athena.uww.org/p/5189")</f>
        <v>0</v>
      </c>
    </row>
    <row r="598" spans="1:9">
      <c r="A598">
        <v>93819</v>
      </c>
      <c r="B598" t="s">
        <v>605</v>
      </c>
      <c r="C598" t="s">
        <v>1340</v>
      </c>
      <c r="D598" t="s">
        <v>1384</v>
      </c>
      <c r="E598" t="s">
        <v>1439</v>
      </c>
      <c r="F598" t="s">
        <v>2025</v>
      </c>
      <c r="G598" t="b">
        <v>1</v>
      </c>
      <c r="H598">
        <f>HYPERLINK("https://athena.uww.org/media/cache/person_default/uploads/images/crop/655c6abcafa6e953772122.png")</f>
        <v>0</v>
      </c>
      <c r="I598">
        <f>HYPERLINK("https://athena.uww.org/p/93819")</f>
        <v>0</v>
      </c>
    </row>
    <row r="599" spans="1:9">
      <c r="A599">
        <v>5190</v>
      </c>
      <c r="B599" t="s">
        <v>606</v>
      </c>
      <c r="C599" t="s">
        <v>1339</v>
      </c>
      <c r="D599" t="s">
        <v>1384</v>
      </c>
      <c r="E599" t="s">
        <v>1439</v>
      </c>
      <c r="F599" t="s">
        <v>2026</v>
      </c>
      <c r="G599" t="b">
        <v>1</v>
      </c>
      <c r="H599">
        <f>HYPERLINK("https://athena.uww.org/media/cache/person_default/uploads/images/referee-5190.jpg")</f>
        <v>0</v>
      </c>
      <c r="I599">
        <f>HYPERLINK("https://athena.uww.org/p/5190")</f>
        <v>0</v>
      </c>
    </row>
    <row r="600" spans="1:9">
      <c r="A600">
        <v>5400</v>
      </c>
      <c r="B600" t="s">
        <v>607</v>
      </c>
      <c r="C600" t="s">
        <v>1339</v>
      </c>
      <c r="D600" t="s">
        <v>1384</v>
      </c>
      <c r="E600" t="s">
        <v>1442</v>
      </c>
      <c r="F600" t="s">
        <v>2027</v>
      </c>
      <c r="G600" t="b">
        <v>1</v>
      </c>
      <c r="H600">
        <f>HYPERLINK("https://athena.uww.org/media/cache/person_default/uploads/images/56814f9be5c60.jpg")</f>
        <v>0</v>
      </c>
      <c r="I600">
        <f>HYPERLINK("https://athena.uww.org/p/5400")</f>
        <v>0</v>
      </c>
    </row>
    <row r="601" spans="1:9">
      <c r="A601">
        <v>92910</v>
      </c>
      <c r="B601" t="s">
        <v>608</v>
      </c>
      <c r="C601" t="s">
        <v>1339</v>
      </c>
      <c r="D601" t="s">
        <v>1384</v>
      </c>
      <c r="E601" t="s">
        <v>1442</v>
      </c>
      <c r="F601" t="s">
        <v>2028</v>
      </c>
      <c r="G601" t="b">
        <v>1</v>
      </c>
      <c r="H601">
        <f>HYPERLINK("https://athena.uww.org/media/cache/person_default/uploads/images/66b38e396326b677207641.png")</f>
        <v>0</v>
      </c>
      <c r="I601">
        <f>HYPERLINK("https://athena.uww.org/p/92910")</f>
        <v>0</v>
      </c>
    </row>
    <row r="602" spans="1:9">
      <c r="A602">
        <v>18916</v>
      </c>
      <c r="B602" t="s">
        <v>609</v>
      </c>
      <c r="C602" t="s">
        <v>1339</v>
      </c>
      <c r="D602" t="s">
        <v>1384</v>
      </c>
      <c r="E602" t="s">
        <v>1442</v>
      </c>
      <c r="F602" t="s">
        <v>2029</v>
      </c>
      <c r="G602" t="b">
        <v>1</v>
      </c>
      <c r="H602">
        <f>HYPERLINK("https://athena.uww.org/media/cache/person_default/uploads/images/crop/5b47b6df16a0b.png")</f>
        <v>0</v>
      </c>
      <c r="I602">
        <f>HYPERLINK("https://athena.uww.org/p/18916")</f>
        <v>0</v>
      </c>
    </row>
    <row r="603" spans="1:9">
      <c r="A603">
        <v>52979</v>
      </c>
      <c r="B603" t="s">
        <v>610</v>
      </c>
      <c r="C603" t="s">
        <v>1339</v>
      </c>
      <c r="D603" t="s">
        <v>1384</v>
      </c>
      <c r="E603" t="s">
        <v>1442</v>
      </c>
      <c r="F603" t="s">
        <v>2030</v>
      </c>
      <c r="G603" t="b">
        <v>1</v>
      </c>
      <c r="H603">
        <f>HYPERLINK("https://athena.uww.org/media/cache/person_default/uploads/images/64b803ac7f1e0606617980.jpg")</f>
        <v>0</v>
      </c>
      <c r="I603">
        <f>HYPERLINK("https://athena.uww.org/p/52979")</f>
        <v>0</v>
      </c>
    </row>
    <row r="604" spans="1:9">
      <c r="A604">
        <v>92911</v>
      </c>
      <c r="B604" t="s">
        <v>611</v>
      </c>
      <c r="C604" t="s">
        <v>1339</v>
      </c>
      <c r="D604" t="s">
        <v>1384</v>
      </c>
      <c r="E604" t="s">
        <v>1442</v>
      </c>
      <c r="F604" t="s">
        <v>2031</v>
      </c>
      <c r="G604" t="b">
        <v>1</v>
      </c>
      <c r="H604">
        <f>HYPERLINK("https://athena.uww.org/media/cache/person_default/uploads/images/crop/64b8ccb0438ae808528044.png")</f>
        <v>0</v>
      </c>
      <c r="I604">
        <f>HYPERLINK("https://athena.uww.org/p/92911")</f>
        <v>0</v>
      </c>
    </row>
    <row r="605" spans="1:9">
      <c r="A605">
        <v>4717</v>
      </c>
      <c r="B605" t="s">
        <v>612</v>
      </c>
      <c r="C605" t="s">
        <v>1339</v>
      </c>
      <c r="D605" t="s">
        <v>1385</v>
      </c>
      <c r="E605" t="s">
        <v>1440</v>
      </c>
      <c r="F605" t="s">
        <v>2032</v>
      </c>
      <c r="G605" t="b">
        <v>1</v>
      </c>
      <c r="H605">
        <f>HYPERLINK("https://athena.uww.org/media/cache/person_default/uploads/images/crop/63cb9f4d6deee063097645.png")</f>
        <v>0</v>
      </c>
      <c r="I605">
        <f>HYPERLINK("https://athena.uww.org/p/4717")</f>
        <v>0</v>
      </c>
    </row>
    <row r="606" spans="1:9">
      <c r="A606">
        <v>41758</v>
      </c>
      <c r="B606" t="s">
        <v>613</v>
      </c>
      <c r="C606" t="s">
        <v>1340</v>
      </c>
      <c r="D606" t="s">
        <v>1385</v>
      </c>
      <c r="E606" t="s">
        <v>1440</v>
      </c>
      <c r="F606" t="s">
        <v>2033</v>
      </c>
      <c r="G606" t="b">
        <v>1</v>
      </c>
      <c r="H606">
        <f>HYPERLINK("https://athena.uww.org/media/cache/person_default/uploads/images/crop/580e13e37c911.png")</f>
        <v>0</v>
      </c>
      <c r="I606">
        <f>HYPERLINK("https://athena.uww.org/p/41758")</f>
        <v>0</v>
      </c>
    </row>
    <row r="607" spans="1:9">
      <c r="A607">
        <v>5351</v>
      </c>
      <c r="B607" t="s">
        <v>614</v>
      </c>
      <c r="C607" t="s">
        <v>1339</v>
      </c>
      <c r="D607" t="s">
        <v>1385</v>
      </c>
      <c r="E607" t="s">
        <v>1440</v>
      </c>
      <c r="F607" t="s">
        <v>2034</v>
      </c>
      <c r="G607" t="b">
        <v>1</v>
      </c>
      <c r="H607">
        <f>HYPERLINK("https://athena.uww.org/media/cache/person_default/uploads/images/crop/63cb9ff9e5997156675829.png")</f>
        <v>0</v>
      </c>
      <c r="I607">
        <f>HYPERLINK("https://athena.uww.org/p/5351")</f>
        <v>0</v>
      </c>
    </row>
    <row r="608" spans="1:9">
      <c r="A608">
        <v>4608</v>
      </c>
      <c r="B608" t="s">
        <v>615</v>
      </c>
      <c r="C608" t="s">
        <v>1339</v>
      </c>
      <c r="D608" t="s">
        <v>1385</v>
      </c>
      <c r="E608" t="s">
        <v>1440</v>
      </c>
      <c r="F608" t="s">
        <v>2035</v>
      </c>
      <c r="G608" t="b">
        <v>1</v>
      </c>
      <c r="H608">
        <f>HYPERLINK("https://athena.uww.org/media/cache/person_default/uploads/images/56b4a1d8148af.jpg")</f>
        <v>0</v>
      </c>
      <c r="I608">
        <f>HYPERLINK("https://athena.uww.org/p/4608")</f>
        <v>0</v>
      </c>
    </row>
    <row r="609" spans="1:9">
      <c r="A609">
        <v>5467</v>
      </c>
      <c r="B609" t="s">
        <v>616</v>
      </c>
      <c r="C609" t="s">
        <v>1339</v>
      </c>
      <c r="D609" t="s">
        <v>1385</v>
      </c>
      <c r="E609" t="s">
        <v>1441</v>
      </c>
      <c r="F609" t="s">
        <v>2036</v>
      </c>
      <c r="G609" t="b">
        <v>1</v>
      </c>
      <c r="H609">
        <f>HYPERLINK("https://athena.uww.org/media/cache/person_default/uploads/images/referee-5467.jpg")</f>
        <v>0</v>
      </c>
      <c r="I609">
        <f>HYPERLINK("https://athena.uww.org/p/5467")</f>
        <v>0</v>
      </c>
    </row>
    <row r="610" spans="1:9">
      <c r="A610">
        <v>5207</v>
      </c>
      <c r="B610" t="s">
        <v>617</v>
      </c>
      <c r="C610" t="s">
        <v>1339</v>
      </c>
      <c r="D610" t="s">
        <v>1385</v>
      </c>
      <c r="E610" t="s">
        <v>1441</v>
      </c>
      <c r="F610" t="s">
        <v>2037</v>
      </c>
      <c r="G610" t="b">
        <v>1</v>
      </c>
      <c r="H610">
        <f>HYPERLINK("https://athena.uww.org/media/cache/person_default/uploads/images/56b49f5075889.jpg")</f>
        <v>0</v>
      </c>
      <c r="I610">
        <f>HYPERLINK("https://athena.uww.org/p/5207")</f>
        <v>0</v>
      </c>
    </row>
    <row r="611" spans="1:9">
      <c r="A611">
        <v>41003</v>
      </c>
      <c r="B611" t="s">
        <v>618</v>
      </c>
      <c r="C611" t="s">
        <v>1339</v>
      </c>
      <c r="D611" t="s">
        <v>1385</v>
      </c>
      <c r="E611" t="s">
        <v>1441</v>
      </c>
      <c r="F611" t="s">
        <v>2038</v>
      </c>
      <c r="G611" t="b">
        <v>1</v>
      </c>
      <c r="H611">
        <f>HYPERLINK("https://athena.uww.org/media/cache/person_default/uploads/images/crop/580f69d4ccf90.png")</f>
        <v>0</v>
      </c>
      <c r="I611">
        <f>HYPERLINK("https://athena.uww.org/p/41003")</f>
        <v>0</v>
      </c>
    </row>
    <row r="612" spans="1:9">
      <c r="A612">
        <v>60242</v>
      </c>
      <c r="B612" t="s">
        <v>619</v>
      </c>
      <c r="C612" t="s">
        <v>1339</v>
      </c>
      <c r="D612" t="s">
        <v>1385</v>
      </c>
      <c r="E612" t="s">
        <v>1441</v>
      </c>
      <c r="F612" t="s">
        <v>1762</v>
      </c>
      <c r="G612" t="b">
        <v>1</v>
      </c>
      <c r="H612">
        <f>HYPERLINK("https://athena.uww.org/media/cache/person_default/uploads/images/crop/5b851e809020b.png")</f>
        <v>0</v>
      </c>
      <c r="I612">
        <f>HYPERLINK("https://athena.uww.org/p/60242")</f>
        <v>0</v>
      </c>
    </row>
    <row r="613" spans="1:9">
      <c r="A613">
        <v>5477</v>
      </c>
      <c r="B613" t="s">
        <v>620</v>
      </c>
      <c r="C613" t="s">
        <v>1339</v>
      </c>
      <c r="D613" t="s">
        <v>1385</v>
      </c>
      <c r="E613" t="s">
        <v>1441</v>
      </c>
      <c r="F613" t="s">
        <v>2039</v>
      </c>
      <c r="G613" t="b">
        <v>1</v>
      </c>
      <c r="H613">
        <f>HYPERLINK("https://athena.uww.org/media/cache/person_default/uploads/images/56b072a6af08b.jpg")</f>
        <v>0</v>
      </c>
      <c r="I613">
        <f>HYPERLINK("https://athena.uww.org/p/5477")</f>
        <v>0</v>
      </c>
    </row>
    <row r="614" spans="1:9">
      <c r="A614">
        <v>65</v>
      </c>
      <c r="B614" t="s">
        <v>621</v>
      </c>
      <c r="C614" t="s">
        <v>1339</v>
      </c>
      <c r="D614" t="s">
        <v>1385</v>
      </c>
      <c r="E614" t="s">
        <v>1441</v>
      </c>
      <c r="F614" t="s">
        <v>2040</v>
      </c>
      <c r="G614" t="b">
        <v>1</v>
      </c>
      <c r="H614">
        <f>HYPERLINK("https://athena.uww.org/media/cache/person_default/uploads/images/567a9768419bf.jpg")</f>
        <v>0</v>
      </c>
      <c r="I614">
        <f>HYPERLINK("https://athena.uww.org/p/65")</f>
        <v>0</v>
      </c>
    </row>
    <row r="615" spans="1:9">
      <c r="A615">
        <v>92673</v>
      </c>
      <c r="B615" t="s">
        <v>622</v>
      </c>
      <c r="C615" t="s">
        <v>1339</v>
      </c>
      <c r="D615" t="s">
        <v>1385</v>
      </c>
      <c r="E615" t="s">
        <v>1439</v>
      </c>
      <c r="F615" t="s">
        <v>2041</v>
      </c>
      <c r="G615" t="b">
        <v>1</v>
      </c>
      <c r="H615">
        <f>HYPERLINK("https://athena.uww.org/media/cache/person_default/uploads/images/crop/6486c4a6b5e3d501323606.png")</f>
        <v>0</v>
      </c>
      <c r="I615">
        <f>HYPERLINK("https://athena.uww.org/p/92673")</f>
        <v>0</v>
      </c>
    </row>
    <row r="616" spans="1:9">
      <c r="A616">
        <v>56327</v>
      </c>
      <c r="B616" t="s">
        <v>623</v>
      </c>
      <c r="C616" t="s">
        <v>1339</v>
      </c>
      <c r="D616" t="s">
        <v>1385</v>
      </c>
      <c r="E616" t="s">
        <v>1439</v>
      </c>
      <c r="F616" t="s">
        <v>1680</v>
      </c>
      <c r="G616" t="b">
        <v>1</v>
      </c>
      <c r="H616">
        <f>HYPERLINK("https://athena.uww.org/media/cache/person_default/uploads/images/5ae96db92c973.jpg")</f>
        <v>0</v>
      </c>
      <c r="I616">
        <f>HYPERLINK("https://athena.uww.org/p/56327")</f>
        <v>0</v>
      </c>
    </row>
    <row r="617" spans="1:9">
      <c r="A617">
        <v>67753</v>
      </c>
      <c r="B617" t="s">
        <v>624</v>
      </c>
      <c r="C617" t="s">
        <v>1339</v>
      </c>
      <c r="D617" t="s">
        <v>1385</v>
      </c>
      <c r="E617" t="s">
        <v>1439</v>
      </c>
      <c r="F617" t="s">
        <v>2042</v>
      </c>
      <c r="G617" t="b">
        <v>1</v>
      </c>
      <c r="H617">
        <f>HYPERLINK("https://athena.uww.org/media/cache/person_default/uploads/images/crop/5d2fe78790ebb996991518.png")</f>
        <v>0</v>
      </c>
      <c r="I617">
        <f>HYPERLINK("https://athena.uww.org/p/67753")</f>
        <v>0</v>
      </c>
    </row>
    <row r="618" spans="1:9">
      <c r="A618">
        <v>6760</v>
      </c>
      <c r="B618" t="s">
        <v>625</v>
      </c>
      <c r="C618" t="s">
        <v>1340</v>
      </c>
      <c r="D618" t="s">
        <v>1385</v>
      </c>
      <c r="E618" t="s">
        <v>1439</v>
      </c>
      <c r="F618" t="s">
        <v>2043</v>
      </c>
      <c r="G618" t="b">
        <v>1</v>
      </c>
      <c r="H618">
        <f>HYPERLINK("https://athena.uww.org/media/cache/person_default/uploads/images/crop/666007c7cc404660930357.png")</f>
        <v>0</v>
      </c>
      <c r="I618">
        <f>HYPERLINK("https://athena.uww.org/p/6760")</f>
        <v>0</v>
      </c>
    </row>
    <row r="619" spans="1:9">
      <c r="A619">
        <v>5352</v>
      </c>
      <c r="B619" t="s">
        <v>626</v>
      </c>
      <c r="C619" t="s">
        <v>1339</v>
      </c>
      <c r="D619" t="s">
        <v>1385</v>
      </c>
      <c r="E619" t="s">
        <v>1442</v>
      </c>
      <c r="F619" t="s">
        <v>2044</v>
      </c>
      <c r="G619" t="b">
        <v>0</v>
      </c>
      <c r="H619">
        <f>HYPERLINK("https://athena.uww.org/media/cache/person_default/uploads/images/crop/5721ae1424360.png")</f>
        <v>0</v>
      </c>
      <c r="I619">
        <f>HYPERLINK("https://athena.uww.org/p/5352")</f>
        <v>0</v>
      </c>
    </row>
    <row r="620" spans="1:9">
      <c r="A620">
        <v>1809</v>
      </c>
      <c r="B620" t="s">
        <v>627</v>
      </c>
      <c r="C620" t="s">
        <v>1339</v>
      </c>
      <c r="D620" t="s">
        <v>1385</v>
      </c>
      <c r="E620" t="s">
        <v>1442</v>
      </c>
      <c r="F620" t="s">
        <v>2045</v>
      </c>
      <c r="G620" t="b">
        <v>1</v>
      </c>
      <c r="H620">
        <f>HYPERLINK("https://athena.uww.org/media/cache/person_default/uploads/images/5538c029806b7.jpg")</f>
        <v>0</v>
      </c>
      <c r="I620">
        <f>HYPERLINK("https://athena.uww.org/p/1809")</f>
        <v>0</v>
      </c>
    </row>
    <row r="621" spans="1:9">
      <c r="A621">
        <v>16348</v>
      </c>
      <c r="B621" t="s">
        <v>628</v>
      </c>
      <c r="C621" t="s">
        <v>1340</v>
      </c>
      <c r="D621" t="s">
        <v>1385</v>
      </c>
      <c r="E621" t="s">
        <v>1442</v>
      </c>
      <c r="F621" t="s">
        <v>2046</v>
      </c>
      <c r="G621" t="b">
        <v>1</v>
      </c>
      <c r="H621">
        <f>HYPERLINK("https://athena.uww.org/media/cache/person_default/uploads/images/crop/5cee2932bd7b0581208495.png")</f>
        <v>0</v>
      </c>
      <c r="I621">
        <f>HYPERLINK("https://athena.uww.org/p/16348")</f>
        <v>0</v>
      </c>
    </row>
    <row r="622" spans="1:9">
      <c r="A622">
        <v>5048</v>
      </c>
      <c r="B622" t="s">
        <v>629</v>
      </c>
      <c r="C622" t="s">
        <v>1339</v>
      </c>
      <c r="D622" t="s">
        <v>1385</v>
      </c>
      <c r="E622" t="s">
        <v>1442</v>
      </c>
      <c r="F622" t="s">
        <v>2047</v>
      </c>
      <c r="G622" t="b">
        <v>0</v>
      </c>
      <c r="H622">
        <f>HYPERLINK("https://athena.uww.org/media/cache/person_default/uploads/images/crop/5d8cb5ce660aa305913600.png")</f>
        <v>0</v>
      </c>
      <c r="I622">
        <f>HYPERLINK("https://athena.uww.org/p/5048")</f>
        <v>0</v>
      </c>
    </row>
    <row r="623" spans="1:9">
      <c r="A623">
        <v>40834</v>
      </c>
      <c r="B623" t="s">
        <v>630</v>
      </c>
      <c r="C623" t="s">
        <v>1339</v>
      </c>
      <c r="D623" t="s">
        <v>1385</v>
      </c>
      <c r="E623" t="s">
        <v>1442</v>
      </c>
      <c r="F623" t="s">
        <v>2048</v>
      </c>
      <c r="G623" t="b">
        <v>1</v>
      </c>
      <c r="H623">
        <f>HYPERLINK("https://athena.uww.org/media/cache/person_default/uploads/images/crop/580f6a45d01a4.png")</f>
        <v>0</v>
      </c>
      <c r="I623">
        <f>HYPERLINK("https://athena.uww.org/p/40834")</f>
        <v>0</v>
      </c>
    </row>
    <row r="624" spans="1:9">
      <c r="A624">
        <v>4441</v>
      </c>
      <c r="B624" t="s">
        <v>631</v>
      </c>
      <c r="C624" t="s">
        <v>1339</v>
      </c>
      <c r="D624" t="s">
        <v>1385</v>
      </c>
      <c r="E624" t="s">
        <v>1442</v>
      </c>
      <c r="F624" t="s">
        <v>2049</v>
      </c>
      <c r="G624" t="b">
        <v>1</v>
      </c>
      <c r="H624">
        <f>HYPERLINK("https://athena.uww.org/media/cache/person_default/uploads/images/56b0721767f38.jpg")</f>
        <v>0</v>
      </c>
      <c r="I624">
        <f>HYPERLINK("https://athena.uww.org/p/4441")</f>
        <v>0</v>
      </c>
    </row>
    <row r="625" spans="1:9">
      <c r="A625">
        <v>4462</v>
      </c>
      <c r="B625" t="s">
        <v>632</v>
      </c>
      <c r="C625" t="s">
        <v>1339</v>
      </c>
      <c r="D625" t="s">
        <v>1386</v>
      </c>
      <c r="E625" t="s">
        <v>1440</v>
      </c>
      <c r="F625" t="s">
        <v>2050</v>
      </c>
      <c r="G625" t="b">
        <v>1</v>
      </c>
      <c r="H625">
        <f>HYPERLINK("https://athena.uww.org/media/cache/person_default/uploads/images/crop/63cb9aea402f2917381283.png")</f>
        <v>0</v>
      </c>
      <c r="I625">
        <f>HYPERLINK("https://athena.uww.org/p/4462")</f>
        <v>0</v>
      </c>
    </row>
    <row r="626" spans="1:9">
      <c r="A626">
        <v>47</v>
      </c>
      <c r="B626" t="s">
        <v>633</v>
      </c>
      <c r="C626" t="s">
        <v>1339</v>
      </c>
      <c r="D626" t="s">
        <v>1386</v>
      </c>
      <c r="E626" t="s">
        <v>1440</v>
      </c>
      <c r="F626" t="s">
        <v>2051</v>
      </c>
      <c r="G626" t="b">
        <v>1</v>
      </c>
      <c r="H626">
        <f>HYPERLINK("https://athena.uww.org/media/cache/person_default/uploads/images/crop/63cb9b6153420728377292.png")</f>
        <v>0</v>
      </c>
      <c r="I626">
        <f>HYPERLINK("https://athena.uww.org/p/47")</f>
        <v>0</v>
      </c>
    </row>
    <row r="627" spans="1:9">
      <c r="A627">
        <v>5443</v>
      </c>
      <c r="B627" t="s">
        <v>634</v>
      </c>
      <c r="C627" t="s">
        <v>1339</v>
      </c>
      <c r="D627" t="s">
        <v>1386</v>
      </c>
      <c r="E627" t="s">
        <v>1440</v>
      </c>
      <c r="F627" t="s">
        <v>2052</v>
      </c>
      <c r="G627" t="b">
        <v>1</v>
      </c>
      <c r="H627">
        <f>HYPERLINK("https://athena.uww.org/media/cache/person_default/uploads/images/referee-5443.jpg")</f>
        <v>0</v>
      </c>
      <c r="I627">
        <f>HYPERLINK("https://athena.uww.org/p/5443")</f>
        <v>0</v>
      </c>
    </row>
    <row r="628" spans="1:9">
      <c r="A628">
        <v>4957</v>
      </c>
      <c r="B628" t="s">
        <v>635</v>
      </c>
      <c r="C628" t="s">
        <v>1339</v>
      </c>
      <c r="D628" t="s">
        <v>1386</v>
      </c>
      <c r="E628" t="s">
        <v>1440</v>
      </c>
      <c r="F628" t="s">
        <v>2053</v>
      </c>
      <c r="G628" t="b">
        <v>1</v>
      </c>
      <c r="H628">
        <f>HYPERLINK("https://athena.uww.org/media/cache/person_default/uploads/images/crop/63cb9ac7c7e3b336969631.png")</f>
        <v>0</v>
      </c>
      <c r="I628">
        <f>HYPERLINK("https://athena.uww.org/p/4957")</f>
        <v>0</v>
      </c>
    </row>
    <row r="629" spans="1:9">
      <c r="A629">
        <v>5272</v>
      </c>
      <c r="B629" t="s">
        <v>636</v>
      </c>
      <c r="C629" t="s">
        <v>1339</v>
      </c>
      <c r="D629" t="s">
        <v>1386</v>
      </c>
      <c r="E629" t="s">
        <v>1441</v>
      </c>
      <c r="F629" t="s">
        <v>2054</v>
      </c>
      <c r="G629" t="b">
        <v>1</v>
      </c>
      <c r="H629">
        <f>HYPERLINK("https://athena.uww.org/media/cache/person_default/uploads/images/referee-5272.jpg")</f>
        <v>0</v>
      </c>
      <c r="I629">
        <f>HYPERLINK("https://athena.uww.org/p/5272")</f>
        <v>0</v>
      </c>
    </row>
    <row r="630" spans="1:9">
      <c r="A630">
        <v>5354</v>
      </c>
      <c r="B630" t="s">
        <v>637</v>
      </c>
      <c r="C630" t="s">
        <v>1340</v>
      </c>
      <c r="D630" t="s">
        <v>1386</v>
      </c>
      <c r="E630" t="s">
        <v>1441</v>
      </c>
      <c r="F630" t="s">
        <v>2055</v>
      </c>
      <c r="G630" t="b">
        <v>1</v>
      </c>
      <c r="H630">
        <f>HYPERLINK("https://athena.uww.org/media/cache/person_default/uploads/images/crop/5a04191e0d1a2.png")</f>
        <v>0</v>
      </c>
      <c r="I630">
        <f>HYPERLINK("https://athena.uww.org/p/5354")</f>
        <v>0</v>
      </c>
    </row>
    <row r="631" spans="1:9">
      <c r="A631">
        <v>4958</v>
      </c>
      <c r="B631" t="s">
        <v>638</v>
      </c>
      <c r="C631" t="s">
        <v>1339</v>
      </c>
      <c r="D631" t="s">
        <v>1386</v>
      </c>
      <c r="E631" t="s">
        <v>1441</v>
      </c>
      <c r="F631" t="s">
        <v>2056</v>
      </c>
      <c r="G631" t="b">
        <v>1</v>
      </c>
      <c r="H631">
        <f>HYPERLINK("https://athena.uww.org/media/cache/person_default/uploads/images/crop/5b518cfc1e212.png")</f>
        <v>0</v>
      </c>
      <c r="I631">
        <f>HYPERLINK("https://athena.uww.org/p/4958")</f>
        <v>0</v>
      </c>
    </row>
    <row r="632" spans="1:9">
      <c r="A632">
        <v>74487</v>
      </c>
      <c r="B632" t="s">
        <v>639</v>
      </c>
      <c r="C632" t="s">
        <v>1339</v>
      </c>
      <c r="D632" t="s">
        <v>1386</v>
      </c>
      <c r="E632" t="s">
        <v>1441</v>
      </c>
      <c r="F632" t="s">
        <v>2057</v>
      </c>
      <c r="G632" t="b">
        <v>1</v>
      </c>
      <c r="H632">
        <f>HYPERLINK("https://athena.uww.org/media/cache/person_default/uploads/images/crop/611b5af5460f7863363893.png")</f>
        <v>0</v>
      </c>
      <c r="I632">
        <f>HYPERLINK("https://athena.uww.org/p/74487")</f>
        <v>0</v>
      </c>
    </row>
    <row r="633" spans="1:9">
      <c r="A633">
        <v>37079</v>
      </c>
      <c r="B633" t="s">
        <v>640</v>
      </c>
      <c r="C633" t="s">
        <v>1339</v>
      </c>
      <c r="D633" t="s">
        <v>1386</v>
      </c>
      <c r="E633" t="s">
        <v>1441</v>
      </c>
      <c r="F633" t="s">
        <v>2058</v>
      </c>
      <c r="G633" t="b">
        <v>1</v>
      </c>
      <c r="H633">
        <f>HYPERLINK("https://athena.uww.org/media/cache/person_default/uploads/images/crop/5c9b6fb659340910691379.png")</f>
        <v>0</v>
      </c>
      <c r="I633">
        <f>HYPERLINK("https://athena.uww.org/p/37079")</f>
        <v>0</v>
      </c>
    </row>
    <row r="634" spans="1:9">
      <c r="A634">
        <v>50</v>
      </c>
      <c r="B634" t="s">
        <v>641</v>
      </c>
      <c r="C634" t="s">
        <v>1339</v>
      </c>
      <c r="D634" t="s">
        <v>1386</v>
      </c>
      <c r="E634" t="s">
        <v>1439</v>
      </c>
      <c r="F634" t="s">
        <v>2059</v>
      </c>
      <c r="G634" t="b">
        <v>1</v>
      </c>
      <c r="H634">
        <f>HYPERLINK("https://athena.uww.org/media/cache/person_default/uploads/images/crop/669e0419c9f72205805567.png")</f>
        <v>0</v>
      </c>
      <c r="I634">
        <f>HYPERLINK("https://athena.uww.org/p/50")</f>
        <v>0</v>
      </c>
    </row>
    <row r="635" spans="1:9">
      <c r="A635">
        <v>59252</v>
      </c>
      <c r="B635" t="s">
        <v>642</v>
      </c>
      <c r="C635" t="s">
        <v>1339</v>
      </c>
      <c r="D635" t="s">
        <v>1386</v>
      </c>
      <c r="E635" t="s">
        <v>1439</v>
      </c>
      <c r="F635" t="s">
        <v>2060</v>
      </c>
      <c r="G635" t="b">
        <v>1</v>
      </c>
      <c r="H635">
        <f>HYPERLINK("https://athena.uww.org/media/cache/person_default/uploads/images/5b3371e72e023.jpg")</f>
        <v>0</v>
      </c>
      <c r="I635">
        <f>HYPERLINK("https://athena.uww.org/p/59252")</f>
        <v>0</v>
      </c>
    </row>
    <row r="636" spans="1:9">
      <c r="A636">
        <v>81665</v>
      </c>
      <c r="B636" t="s">
        <v>643</v>
      </c>
      <c r="C636" t="s">
        <v>1339</v>
      </c>
      <c r="D636" t="s">
        <v>1386</v>
      </c>
      <c r="E636" t="s">
        <v>1439</v>
      </c>
      <c r="F636" t="s">
        <v>2061</v>
      </c>
      <c r="G636" t="b">
        <v>1</v>
      </c>
      <c r="H636">
        <f>HYPERLINK("https://athena.uww.org/media/cache/person_default/uploads/images/crop/625e6bc6c9275886663721.png")</f>
        <v>0</v>
      </c>
      <c r="I636">
        <f>HYPERLINK("https://athena.uww.org/p/81665")</f>
        <v>0</v>
      </c>
    </row>
    <row r="637" spans="1:9">
      <c r="A637">
        <v>30957</v>
      </c>
      <c r="B637" t="s">
        <v>644</v>
      </c>
      <c r="C637" t="s">
        <v>1339</v>
      </c>
      <c r="D637" t="s">
        <v>1386</v>
      </c>
      <c r="E637" t="s">
        <v>1439</v>
      </c>
      <c r="F637" t="s">
        <v>2062</v>
      </c>
      <c r="G637" t="b">
        <v>0</v>
      </c>
      <c r="H637">
        <f>HYPERLINK("https://athena.uww.org/media/cache/person_default/uploads/images/62fb81d3aa407906045049.png")</f>
        <v>0</v>
      </c>
      <c r="I637">
        <f>HYPERLINK("https://athena.uww.org/p/30957")</f>
        <v>0</v>
      </c>
    </row>
    <row r="638" spans="1:9">
      <c r="A638">
        <v>81675</v>
      </c>
      <c r="B638" t="s">
        <v>645</v>
      </c>
      <c r="C638" t="s">
        <v>1339</v>
      </c>
      <c r="D638" t="s">
        <v>1386</v>
      </c>
      <c r="E638" t="s">
        <v>1439</v>
      </c>
      <c r="F638" t="s">
        <v>2063</v>
      </c>
      <c r="G638" t="b">
        <v>1</v>
      </c>
      <c r="H638">
        <f>HYPERLINK("https://athena.uww.org/media/cache/person_default/uploads/images/crop/6261225a55bb2362830923.png")</f>
        <v>0</v>
      </c>
      <c r="I638">
        <f>HYPERLINK("https://athena.uww.org/p/81675")</f>
        <v>0</v>
      </c>
    </row>
    <row r="639" spans="1:9">
      <c r="A639">
        <v>51282</v>
      </c>
      <c r="B639" t="s">
        <v>646</v>
      </c>
      <c r="C639" t="s">
        <v>1339</v>
      </c>
      <c r="D639" t="s">
        <v>1386</v>
      </c>
      <c r="E639" t="s">
        <v>1439</v>
      </c>
      <c r="F639" t="s">
        <v>2064</v>
      </c>
      <c r="G639" t="b">
        <v>1</v>
      </c>
      <c r="H639">
        <f>HYPERLINK("https://athena.uww.org/media/cache/person_default/uploads/images/crop/59afa7cf2ae63.png")</f>
        <v>0</v>
      </c>
      <c r="I639">
        <f>HYPERLINK("https://athena.uww.org/p/51282")</f>
        <v>0</v>
      </c>
    </row>
    <row r="640" spans="1:9">
      <c r="A640">
        <v>68371</v>
      </c>
      <c r="B640" t="s">
        <v>647</v>
      </c>
      <c r="C640" t="s">
        <v>1339</v>
      </c>
      <c r="D640" t="s">
        <v>1386</v>
      </c>
      <c r="E640" t="s">
        <v>1439</v>
      </c>
      <c r="F640" t="s">
        <v>2065</v>
      </c>
      <c r="G640" t="b">
        <v>1</v>
      </c>
      <c r="H640">
        <f>HYPERLINK("https://athena.uww.org/media/cache/person_default/uploads/images/crop/625e6c820da3f223981740.png")</f>
        <v>0</v>
      </c>
      <c r="I640">
        <f>HYPERLINK("https://athena.uww.org/p/68371")</f>
        <v>0</v>
      </c>
    </row>
    <row r="641" spans="1:9">
      <c r="A641">
        <v>51281</v>
      </c>
      <c r="B641" t="s">
        <v>648</v>
      </c>
      <c r="C641" t="s">
        <v>1339</v>
      </c>
      <c r="D641" t="s">
        <v>1386</v>
      </c>
      <c r="E641" t="s">
        <v>1439</v>
      </c>
      <c r="F641" t="s">
        <v>2066</v>
      </c>
      <c r="G641" t="b">
        <v>1</v>
      </c>
      <c r="H641">
        <f>HYPERLINK("https://athena.uww.org/media/cache/person_default/uploads/images/crop/59afa5a684e16.png")</f>
        <v>0</v>
      </c>
      <c r="I641">
        <f>HYPERLINK("https://athena.uww.org/p/51281")</f>
        <v>0</v>
      </c>
    </row>
    <row r="642" spans="1:9">
      <c r="A642">
        <v>5204</v>
      </c>
      <c r="B642" t="s">
        <v>649</v>
      </c>
      <c r="C642" t="s">
        <v>1339</v>
      </c>
      <c r="D642" t="s">
        <v>1386</v>
      </c>
      <c r="E642" t="s">
        <v>1439</v>
      </c>
      <c r="F642" t="s">
        <v>2067</v>
      </c>
      <c r="G642" t="b">
        <v>0</v>
      </c>
      <c r="H642">
        <f>HYPERLINK("https://athena.uww.org/media/cache/person_default/uploads/images/crop/5afbd72712f9f.png")</f>
        <v>0</v>
      </c>
      <c r="I642">
        <f>HYPERLINK("https://athena.uww.org/p/5204")</f>
        <v>0</v>
      </c>
    </row>
    <row r="643" spans="1:9">
      <c r="A643">
        <v>5254</v>
      </c>
      <c r="B643" t="s">
        <v>650</v>
      </c>
      <c r="C643" t="s">
        <v>1339</v>
      </c>
      <c r="D643" t="s">
        <v>1386</v>
      </c>
      <c r="E643" t="s">
        <v>1439</v>
      </c>
      <c r="F643" t="s">
        <v>2068</v>
      </c>
      <c r="G643" t="b">
        <v>1</v>
      </c>
      <c r="H643">
        <f>HYPERLINK("https://athena.uww.org/media/cache/person_default/uploads/images/crop/6638866f0377a176458022.png")</f>
        <v>0</v>
      </c>
      <c r="I643">
        <f>HYPERLINK("https://athena.uww.org/p/5254")</f>
        <v>0</v>
      </c>
    </row>
    <row r="644" spans="1:9">
      <c r="A644">
        <v>48</v>
      </c>
      <c r="B644" t="s">
        <v>651</v>
      </c>
      <c r="C644" t="s">
        <v>1339</v>
      </c>
      <c r="D644" t="s">
        <v>1386</v>
      </c>
      <c r="E644" t="s">
        <v>1439</v>
      </c>
      <c r="F644" t="s">
        <v>2069</v>
      </c>
      <c r="G644" t="b">
        <v>1</v>
      </c>
      <c r="H644">
        <f>HYPERLINK("https://athena.uww.org/media/cache/person_default/uploads/images/567a79ace35cf.jpg")</f>
        <v>0</v>
      </c>
      <c r="I644">
        <f>HYPERLINK("https://athena.uww.org/p/48")</f>
        <v>0</v>
      </c>
    </row>
    <row r="645" spans="1:9">
      <c r="A645">
        <v>56225</v>
      </c>
      <c r="B645" t="s">
        <v>652</v>
      </c>
      <c r="C645" t="s">
        <v>1339</v>
      </c>
      <c r="D645" t="s">
        <v>1386</v>
      </c>
      <c r="E645" t="s">
        <v>1439</v>
      </c>
      <c r="F645" t="s">
        <v>1778</v>
      </c>
      <c r="G645" t="b">
        <v>1</v>
      </c>
      <c r="H645">
        <f>HYPERLINK("https://athena.uww.org/media/cache/person_default/uploads/images/5ae1a11cd7f9e.jpg")</f>
        <v>0</v>
      </c>
      <c r="I645">
        <f>HYPERLINK("https://athena.uww.org/p/56225")</f>
        <v>0</v>
      </c>
    </row>
    <row r="646" spans="1:9">
      <c r="A646">
        <v>89002</v>
      </c>
      <c r="B646" t="s">
        <v>653</v>
      </c>
      <c r="C646" t="s">
        <v>1339</v>
      </c>
      <c r="D646" t="s">
        <v>1386</v>
      </c>
      <c r="E646" t="s">
        <v>1442</v>
      </c>
      <c r="F646" t="s">
        <v>1759</v>
      </c>
      <c r="G646" t="b">
        <v>1</v>
      </c>
      <c r="H646">
        <f>HYPERLINK("https://athena.uww.org/media/cache/person_default/uploads/images/crop/655c5f9e3f683519838801.png")</f>
        <v>0</v>
      </c>
      <c r="I646">
        <f>HYPERLINK("https://athena.uww.org/p/89002")</f>
        <v>0</v>
      </c>
    </row>
    <row r="647" spans="1:9">
      <c r="A647">
        <v>4260</v>
      </c>
      <c r="B647" t="s">
        <v>654</v>
      </c>
      <c r="C647" t="s">
        <v>1339</v>
      </c>
      <c r="D647" t="s">
        <v>1386</v>
      </c>
      <c r="E647" t="s">
        <v>1442</v>
      </c>
      <c r="F647" t="s">
        <v>2070</v>
      </c>
      <c r="G647" t="b">
        <v>1</v>
      </c>
      <c r="H647">
        <f>HYPERLINK("https://athena.uww.org/media/cache/person_default/uploads/images/referee-4260.jpg")</f>
        <v>0</v>
      </c>
      <c r="I647">
        <f>HYPERLINK("https://athena.uww.org/p/4260")</f>
        <v>0</v>
      </c>
    </row>
    <row r="648" spans="1:9">
      <c r="A648">
        <v>59976</v>
      </c>
      <c r="B648" t="s">
        <v>655</v>
      </c>
      <c r="C648" t="s">
        <v>1339</v>
      </c>
      <c r="D648" t="s">
        <v>1386</v>
      </c>
      <c r="E648" t="s">
        <v>1442</v>
      </c>
      <c r="F648" t="s">
        <v>2071</v>
      </c>
      <c r="G648" t="b">
        <v>0</v>
      </c>
      <c r="H648">
        <f>HYPERLINK("https://athena.uww.org/media/cache/person_default/uploads/images/crop/5b7407a7dbda9.png")</f>
        <v>0</v>
      </c>
      <c r="I648">
        <f>HYPERLINK("https://athena.uww.org/p/59976")</f>
        <v>0</v>
      </c>
    </row>
    <row r="649" spans="1:9">
      <c r="A649">
        <v>5519</v>
      </c>
      <c r="B649" t="s">
        <v>656</v>
      </c>
      <c r="C649" t="s">
        <v>1339</v>
      </c>
      <c r="D649" t="s">
        <v>1386</v>
      </c>
      <c r="E649" t="s">
        <v>1442</v>
      </c>
      <c r="F649" t="s">
        <v>2072</v>
      </c>
      <c r="G649" t="b">
        <v>0</v>
      </c>
      <c r="H649">
        <f>HYPERLINK("https://athena.uww.org/media/cache/person_default/uploads/images/referee-5519.jpg")</f>
        <v>0</v>
      </c>
      <c r="I649">
        <f>HYPERLINK("https://athena.uww.org/p/5519")</f>
        <v>0</v>
      </c>
    </row>
    <row r="650" spans="1:9">
      <c r="A650">
        <v>101173</v>
      </c>
      <c r="B650" t="s">
        <v>657</v>
      </c>
      <c r="C650" t="s">
        <v>1339</v>
      </c>
      <c r="D650" t="s">
        <v>1386</v>
      </c>
      <c r="E650" t="s">
        <v>1442</v>
      </c>
      <c r="F650" t="s">
        <v>2073</v>
      </c>
      <c r="G650" t="b">
        <v>1</v>
      </c>
      <c r="H650">
        <f>HYPERLINK("https://athena.uww.org/media/cache/person_default/uploads/images/665d9f9529791013297784.png")</f>
        <v>0</v>
      </c>
      <c r="I650">
        <f>HYPERLINK("https://athena.uww.org/p/101173")</f>
        <v>0</v>
      </c>
    </row>
    <row r="651" spans="1:9">
      <c r="A651">
        <v>81591</v>
      </c>
      <c r="B651" t="s">
        <v>658</v>
      </c>
      <c r="C651" t="s">
        <v>1339</v>
      </c>
      <c r="D651" t="s">
        <v>1386</v>
      </c>
      <c r="E651" t="s">
        <v>1442</v>
      </c>
      <c r="F651" t="s">
        <v>2074</v>
      </c>
      <c r="G651" t="b">
        <v>1</v>
      </c>
      <c r="H651">
        <f>HYPERLINK("https://athena.uww.org/media/cache/person_default/uploads/images/crop/625e6a84d57cb999779948.png")</f>
        <v>0</v>
      </c>
      <c r="I651">
        <f>HYPERLINK("https://athena.uww.org/p/81591")</f>
        <v>0</v>
      </c>
    </row>
    <row r="652" spans="1:9">
      <c r="A652">
        <v>81651</v>
      </c>
      <c r="B652" t="s">
        <v>659</v>
      </c>
      <c r="C652" t="s">
        <v>1339</v>
      </c>
      <c r="D652" t="s">
        <v>1386</v>
      </c>
      <c r="E652" t="s">
        <v>1442</v>
      </c>
      <c r="F652" t="s">
        <v>2075</v>
      </c>
      <c r="G652" t="b">
        <v>0</v>
      </c>
      <c r="H652">
        <f>HYPERLINK("https://athena.uww.org/media/cache/person_default/uploads/images/crop/625e6abe307f0750473997.png")</f>
        <v>0</v>
      </c>
      <c r="I652">
        <f>HYPERLINK("https://athena.uww.org/p/81651")</f>
        <v>0</v>
      </c>
    </row>
    <row r="653" spans="1:9">
      <c r="A653">
        <v>49</v>
      </c>
      <c r="B653" t="s">
        <v>660</v>
      </c>
      <c r="C653" t="s">
        <v>1339</v>
      </c>
      <c r="D653" t="s">
        <v>1386</v>
      </c>
      <c r="E653" t="s">
        <v>1442</v>
      </c>
      <c r="F653" t="s">
        <v>2076</v>
      </c>
      <c r="G653" t="b">
        <v>1</v>
      </c>
      <c r="H653">
        <f>HYPERLINK("https://athena.uww.org/media/cache/person_default/uploads/images/crop/63e5ebe7b8d79863330736.png")</f>
        <v>0</v>
      </c>
      <c r="I653">
        <f>HYPERLINK("https://athena.uww.org/p/49")</f>
        <v>0</v>
      </c>
    </row>
    <row r="654" spans="1:9">
      <c r="A654">
        <v>101636</v>
      </c>
      <c r="B654" t="s">
        <v>661</v>
      </c>
      <c r="C654" t="s">
        <v>1339</v>
      </c>
      <c r="D654" t="s">
        <v>1386</v>
      </c>
      <c r="E654" t="s">
        <v>1442</v>
      </c>
      <c r="F654" t="s">
        <v>2077</v>
      </c>
      <c r="G654" t="b">
        <v>0</v>
      </c>
      <c r="H654">
        <f>HYPERLINK("https://athena.uww.org/media/cache/person_default/uploads/images/6666c41b3e906363517884.png")</f>
        <v>0</v>
      </c>
      <c r="I654">
        <f>HYPERLINK("https://athena.uww.org/p/101636")</f>
        <v>0</v>
      </c>
    </row>
    <row r="655" spans="1:9">
      <c r="A655">
        <v>81620</v>
      </c>
      <c r="B655" t="s">
        <v>662</v>
      </c>
      <c r="C655" t="s">
        <v>1339</v>
      </c>
      <c r="D655" t="s">
        <v>1386</v>
      </c>
      <c r="E655" t="s">
        <v>1442</v>
      </c>
      <c r="F655" t="s">
        <v>1898</v>
      </c>
      <c r="G655" t="b">
        <v>0</v>
      </c>
      <c r="H655">
        <f>HYPERLINK("https://athena.uww.org/media/cache/person_default/uploads/images/crop/625e6bf715c66683090766.png")</f>
        <v>0</v>
      </c>
      <c r="I655">
        <f>HYPERLINK("https://athena.uww.org/p/81620")</f>
        <v>0</v>
      </c>
    </row>
    <row r="656" spans="1:9">
      <c r="A656">
        <v>81619</v>
      </c>
      <c r="B656" t="s">
        <v>663</v>
      </c>
      <c r="C656" t="s">
        <v>1339</v>
      </c>
      <c r="D656" t="s">
        <v>1386</v>
      </c>
      <c r="E656" t="s">
        <v>1442</v>
      </c>
      <c r="F656" t="s">
        <v>2078</v>
      </c>
      <c r="G656" t="b">
        <v>0</v>
      </c>
      <c r="H656">
        <f>HYPERLINK("https://athena.uww.org/media/cache/person_default/uploads/images/crop/625e6c2b24878240771856.png")</f>
        <v>0</v>
      </c>
      <c r="I656">
        <f>HYPERLINK("https://athena.uww.org/p/81619")</f>
        <v>0</v>
      </c>
    </row>
    <row r="657" spans="1:9">
      <c r="A657">
        <v>58570</v>
      </c>
      <c r="B657" t="s">
        <v>664</v>
      </c>
      <c r="C657" t="s">
        <v>1339</v>
      </c>
      <c r="D657" t="s">
        <v>1386</v>
      </c>
      <c r="E657" t="s">
        <v>1442</v>
      </c>
      <c r="F657" t="s">
        <v>2079</v>
      </c>
      <c r="G657" t="b">
        <v>1</v>
      </c>
      <c r="H657">
        <f>HYPERLINK("https://athena.uww.org/media/cache/person_default/uploads/images/crop/5b07a9f90c817.png")</f>
        <v>0</v>
      </c>
      <c r="I657">
        <f>HYPERLINK("https://athena.uww.org/p/58570")</f>
        <v>0</v>
      </c>
    </row>
    <row r="658" spans="1:9">
      <c r="A658">
        <v>46</v>
      </c>
      <c r="B658" t="s">
        <v>665</v>
      </c>
      <c r="C658" t="s">
        <v>1339</v>
      </c>
      <c r="D658" t="s">
        <v>1386</v>
      </c>
      <c r="E658" t="s">
        <v>1442</v>
      </c>
      <c r="F658" t="s">
        <v>2080</v>
      </c>
      <c r="G658" t="b">
        <v>1</v>
      </c>
      <c r="H658">
        <f>HYPERLINK("https://athena.uww.org/media/cache/person_default/uploads/images/crop/5d1485f31b29a176119819.png")</f>
        <v>0</v>
      </c>
      <c r="I658">
        <f>HYPERLINK("https://athena.uww.org/p/46")</f>
        <v>0</v>
      </c>
    </row>
    <row r="659" spans="1:9">
      <c r="A659">
        <v>59946</v>
      </c>
      <c r="B659" t="s">
        <v>666</v>
      </c>
      <c r="C659" t="s">
        <v>1339</v>
      </c>
      <c r="D659" t="s">
        <v>1386</v>
      </c>
      <c r="E659" t="s">
        <v>1442</v>
      </c>
      <c r="F659" t="s">
        <v>2081</v>
      </c>
      <c r="G659" t="b">
        <v>0</v>
      </c>
      <c r="H659">
        <f>HYPERLINK("https://athena.uww.org/media/cache/person_default/uploads/images/crop/5b740bd3410ac.png")</f>
        <v>0</v>
      </c>
      <c r="I659">
        <f>HYPERLINK("https://athena.uww.org/p/59946")</f>
        <v>0</v>
      </c>
    </row>
    <row r="660" spans="1:9">
      <c r="A660">
        <v>5558</v>
      </c>
      <c r="B660" t="s">
        <v>667</v>
      </c>
      <c r="C660" t="s">
        <v>1339</v>
      </c>
      <c r="D660" t="s">
        <v>1386</v>
      </c>
      <c r="E660" t="s">
        <v>1442</v>
      </c>
      <c r="F660" t="s">
        <v>2082</v>
      </c>
      <c r="G660" t="b">
        <v>0</v>
      </c>
      <c r="H660">
        <f>HYPERLINK("https://athena.uww.org/media/cache/person_default/uploads/images/crop/5b3ca5e3a087c.png")</f>
        <v>0</v>
      </c>
      <c r="I660">
        <f>HYPERLINK("https://athena.uww.org/p/5558")</f>
        <v>0</v>
      </c>
    </row>
    <row r="661" spans="1:9">
      <c r="A661">
        <v>5120</v>
      </c>
      <c r="B661" t="s">
        <v>668</v>
      </c>
      <c r="C661" t="s">
        <v>1339</v>
      </c>
      <c r="D661" t="s">
        <v>1386</v>
      </c>
      <c r="E661" t="s">
        <v>1442</v>
      </c>
      <c r="F661" t="s">
        <v>2083</v>
      </c>
      <c r="G661" t="b">
        <v>0</v>
      </c>
      <c r="H661">
        <f>HYPERLINK("https://athena.uww.org/media/cache/person_default/uploads/images/referee-5120.jpg")</f>
        <v>0</v>
      </c>
      <c r="I661">
        <f>HYPERLINK("https://athena.uww.org/p/5120")</f>
        <v>0</v>
      </c>
    </row>
    <row r="662" spans="1:9">
      <c r="A662">
        <v>51280</v>
      </c>
      <c r="B662" t="s">
        <v>669</v>
      </c>
      <c r="C662" t="s">
        <v>1339</v>
      </c>
      <c r="D662" t="s">
        <v>1386</v>
      </c>
      <c r="E662" t="s">
        <v>1442</v>
      </c>
      <c r="F662" t="s">
        <v>2084</v>
      </c>
      <c r="G662" t="b">
        <v>0</v>
      </c>
      <c r="H662">
        <f>HYPERLINK("https://athena.uww.org/media/cache/person_default/uploads/images/crop/59afa65603af4.png")</f>
        <v>0</v>
      </c>
      <c r="I662">
        <f>HYPERLINK("https://athena.uww.org/p/51280")</f>
        <v>0</v>
      </c>
    </row>
    <row r="663" spans="1:9">
      <c r="A663">
        <v>81661</v>
      </c>
      <c r="B663" t="s">
        <v>670</v>
      </c>
      <c r="C663" t="s">
        <v>1339</v>
      </c>
      <c r="D663" t="s">
        <v>1386</v>
      </c>
      <c r="E663" t="s">
        <v>1442</v>
      </c>
      <c r="F663" t="s">
        <v>2085</v>
      </c>
      <c r="G663" t="b">
        <v>0</v>
      </c>
      <c r="H663">
        <f>HYPERLINK("https://athena.uww.org/media/cache/person_default/uploads/images/crop/625e6cc306a4e825695815.png")</f>
        <v>0</v>
      </c>
      <c r="I663">
        <f>HYPERLINK("https://athena.uww.org/p/81661")</f>
        <v>0</v>
      </c>
    </row>
    <row r="664" spans="1:9">
      <c r="A664">
        <v>81674</v>
      </c>
      <c r="B664" t="s">
        <v>671</v>
      </c>
      <c r="C664" t="s">
        <v>1339</v>
      </c>
      <c r="D664" t="s">
        <v>1386</v>
      </c>
      <c r="E664" t="s">
        <v>1442</v>
      </c>
      <c r="F664" t="s">
        <v>2086</v>
      </c>
      <c r="G664" t="b">
        <v>1</v>
      </c>
      <c r="H664">
        <f>HYPERLINK("https://athena.uww.org/media/cache/person_default/uploads/images/crop/6261234075df0198483240.png")</f>
        <v>0</v>
      </c>
      <c r="I664">
        <f>HYPERLINK("https://athena.uww.org/p/81674")</f>
        <v>0</v>
      </c>
    </row>
    <row r="665" spans="1:9">
      <c r="A665">
        <v>4959</v>
      </c>
      <c r="B665" t="s">
        <v>672</v>
      </c>
      <c r="C665" t="s">
        <v>1339</v>
      </c>
      <c r="D665" t="s">
        <v>1386</v>
      </c>
      <c r="E665" t="s">
        <v>1442</v>
      </c>
      <c r="F665" t="s">
        <v>2087</v>
      </c>
      <c r="G665" t="b">
        <v>0</v>
      </c>
      <c r="H665">
        <f>HYPERLINK("https://athena.uww.org/media/cache/person_default/uploads/images/crop/59e07fc1c9d53.png")</f>
        <v>0</v>
      </c>
      <c r="I665">
        <f>HYPERLINK("https://athena.uww.org/p/4959")</f>
        <v>0</v>
      </c>
    </row>
    <row r="666" spans="1:9">
      <c r="A666">
        <v>81622</v>
      </c>
      <c r="B666" t="s">
        <v>673</v>
      </c>
      <c r="C666" t="s">
        <v>1339</v>
      </c>
      <c r="D666" t="s">
        <v>1386</v>
      </c>
      <c r="E666" t="s">
        <v>1442</v>
      </c>
      <c r="F666" t="s">
        <v>2088</v>
      </c>
      <c r="G666" t="b">
        <v>0</v>
      </c>
      <c r="H666">
        <f>HYPERLINK("https://athena.uww.org/media/cache/person_default/uploads/images/crop/625e6decf08d3677070307.png")</f>
        <v>0</v>
      </c>
      <c r="I666">
        <f>HYPERLINK("https://athena.uww.org/p/81622")</f>
        <v>0</v>
      </c>
    </row>
    <row r="667" spans="1:9">
      <c r="A667">
        <v>81650</v>
      </c>
      <c r="B667" t="s">
        <v>674</v>
      </c>
      <c r="C667" t="s">
        <v>1339</v>
      </c>
      <c r="D667" t="s">
        <v>1386</v>
      </c>
      <c r="E667" t="s">
        <v>1442</v>
      </c>
      <c r="F667" t="s">
        <v>1720</v>
      </c>
      <c r="G667" t="b">
        <v>1</v>
      </c>
      <c r="H667">
        <f>HYPERLINK("https://athena.uww.org/media/cache/person_default/uploads/images/crop/625e7bb3012a5016096693.png")</f>
        <v>0</v>
      </c>
      <c r="I667">
        <f>HYPERLINK("https://athena.uww.org/p/81650")</f>
        <v>0</v>
      </c>
    </row>
    <row r="668" spans="1:9">
      <c r="A668">
        <v>69853</v>
      </c>
      <c r="B668" t="s">
        <v>675</v>
      </c>
      <c r="C668" t="s">
        <v>1339</v>
      </c>
      <c r="D668" t="s">
        <v>1386</v>
      </c>
      <c r="E668" t="s">
        <v>1442</v>
      </c>
      <c r="F668" t="s">
        <v>2089</v>
      </c>
      <c r="G668" t="b">
        <v>0</v>
      </c>
      <c r="H668">
        <f>HYPERLINK("https://athena.uww.org/media/cache/person_default/uploads/images/645cb72e6d465155514061.jpg")</f>
        <v>0</v>
      </c>
      <c r="I668">
        <f>HYPERLINK("https://athena.uww.org/p/69853")</f>
        <v>0</v>
      </c>
    </row>
    <row r="669" spans="1:9">
      <c r="A669">
        <v>4993</v>
      </c>
      <c r="B669" t="s">
        <v>676</v>
      </c>
      <c r="C669" t="s">
        <v>1339</v>
      </c>
      <c r="D669" t="s">
        <v>1386</v>
      </c>
      <c r="E669" t="s">
        <v>1442</v>
      </c>
      <c r="F669" t="s">
        <v>2090</v>
      </c>
      <c r="G669" t="b">
        <v>0</v>
      </c>
      <c r="H669">
        <f>HYPERLINK("https://athena.uww.org/media/cache/person_default/uploads/images/645c8e1a38219823398407.jpeg")</f>
        <v>0</v>
      </c>
      <c r="I669">
        <f>HYPERLINK("https://athena.uww.org/p/4993")</f>
        <v>0</v>
      </c>
    </row>
    <row r="670" spans="1:9">
      <c r="A670">
        <v>89302</v>
      </c>
      <c r="B670" t="s">
        <v>677</v>
      </c>
      <c r="C670" t="s">
        <v>1339</v>
      </c>
      <c r="D670" t="s">
        <v>1387</v>
      </c>
      <c r="E670" t="s">
        <v>1442</v>
      </c>
      <c r="F670" t="s">
        <v>2091</v>
      </c>
      <c r="G670" t="b">
        <v>1</v>
      </c>
      <c r="H670">
        <f>HYPERLINK("https://athena.uww.org/media/cache/person_default/uploads/images/crop/6673fd932023b566736761.png")</f>
        <v>0</v>
      </c>
      <c r="I670">
        <f>HYPERLINK("https://athena.uww.org/p/89302")</f>
        <v>0</v>
      </c>
    </row>
    <row r="671" spans="1:9">
      <c r="A671">
        <v>5520</v>
      </c>
      <c r="B671" t="s">
        <v>678</v>
      </c>
      <c r="C671" t="s">
        <v>1339</v>
      </c>
      <c r="D671" t="s">
        <v>1388</v>
      </c>
      <c r="E671" t="s">
        <v>1440</v>
      </c>
      <c r="F671" t="s">
        <v>2092</v>
      </c>
      <c r="G671" t="b">
        <v>1</v>
      </c>
      <c r="H671">
        <f>HYPERLINK("https://athena.uww.org/media/cache/person_default/uploads/images/referee-5520.jpg")</f>
        <v>0</v>
      </c>
      <c r="I671">
        <f>HYPERLINK("https://athena.uww.org/p/5520")</f>
        <v>0</v>
      </c>
    </row>
    <row r="672" spans="1:9">
      <c r="A672">
        <v>53738</v>
      </c>
      <c r="B672" t="s">
        <v>679</v>
      </c>
      <c r="C672" t="s">
        <v>1339</v>
      </c>
      <c r="D672" t="s">
        <v>1388</v>
      </c>
      <c r="E672" t="s">
        <v>1440</v>
      </c>
      <c r="F672" t="s">
        <v>2093</v>
      </c>
      <c r="G672" t="b">
        <v>1</v>
      </c>
      <c r="H672">
        <f>HYPERLINK("https://athena.uww.org/media/cache/person_default/uploads/images/66570df2a36fd016349822.jpeg")</f>
        <v>0</v>
      </c>
      <c r="I672">
        <f>HYPERLINK("https://athena.uww.org/p/53738")</f>
        <v>0</v>
      </c>
    </row>
    <row r="673" spans="1:9">
      <c r="A673">
        <v>5127</v>
      </c>
      <c r="B673" t="s">
        <v>680</v>
      </c>
      <c r="C673" t="s">
        <v>1339</v>
      </c>
      <c r="D673" t="s">
        <v>1388</v>
      </c>
      <c r="E673" t="s">
        <v>1440</v>
      </c>
      <c r="F673" t="s">
        <v>2094</v>
      </c>
      <c r="G673" t="b">
        <v>1</v>
      </c>
      <c r="H673">
        <f>HYPERLINK("https://athena.uww.org/media/cache/person_default/uploads/images/referee-5127.jpg")</f>
        <v>0</v>
      </c>
      <c r="I673">
        <f>HYPERLINK("https://athena.uww.org/p/5127")</f>
        <v>0</v>
      </c>
    </row>
    <row r="674" spans="1:9">
      <c r="A674">
        <v>4746</v>
      </c>
      <c r="B674" t="s">
        <v>681</v>
      </c>
      <c r="C674" t="s">
        <v>1339</v>
      </c>
      <c r="D674" t="s">
        <v>1388</v>
      </c>
      <c r="E674" t="s">
        <v>1440</v>
      </c>
      <c r="F674" t="s">
        <v>2095</v>
      </c>
      <c r="G674" t="b">
        <v>1</v>
      </c>
      <c r="H674">
        <f>HYPERLINK("https://athena.uww.org/media/cache/person_default/uploads/images/crop/5a1431cf86af3.png")</f>
        <v>0</v>
      </c>
      <c r="I674">
        <f>HYPERLINK("https://athena.uww.org/p/4746")</f>
        <v>0</v>
      </c>
    </row>
    <row r="675" spans="1:9">
      <c r="A675">
        <v>43</v>
      </c>
      <c r="B675" t="s">
        <v>682</v>
      </c>
      <c r="C675" t="s">
        <v>1339</v>
      </c>
      <c r="D675" t="s">
        <v>1388</v>
      </c>
      <c r="E675" t="s">
        <v>1441</v>
      </c>
      <c r="F675" t="s">
        <v>2096</v>
      </c>
      <c r="G675" t="b">
        <v>1</v>
      </c>
      <c r="H675">
        <f>HYPERLINK("https://athena.uww.org/media/cache/person_default/uploads/images/567a78e1826cd.jpg")</f>
        <v>0</v>
      </c>
      <c r="I675">
        <f>HYPERLINK("https://athena.uww.org/p/43")</f>
        <v>0</v>
      </c>
    </row>
    <row r="676" spans="1:9">
      <c r="A676">
        <v>95578</v>
      </c>
      <c r="B676" t="s">
        <v>683</v>
      </c>
      <c r="C676" t="s">
        <v>1339</v>
      </c>
      <c r="D676" t="s">
        <v>1388</v>
      </c>
      <c r="E676" t="s">
        <v>1441</v>
      </c>
      <c r="F676" t="s">
        <v>1971</v>
      </c>
      <c r="G676" t="b">
        <v>1</v>
      </c>
      <c r="H676">
        <f>HYPERLINK("https://athena.uww.org/media/cache/person_default/uploads/images/6510657c70309278106600.jpg")</f>
        <v>0</v>
      </c>
      <c r="I676">
        <f>HYPERLINK("https://athena.uww.org/p/95578")</f>
        <v>0</v>
      </c>
    </row>
    <row r="677" spans="1:9">
      <c r="A677">
        <v>58876</v>
      </c>
      <c r="B677" t="s">
        <v>684</v>
      </c>
      <c r="C677" t="s">
        <v>1339</v>
      </c>
      <c r="D677" t="s">
        <v>1388</v>
      </c>
      <c r="E677" t="s">
        <v>1441</v>
      </c>
      <c r="F677" t="s">
        <v>2097</v>
      </c>
      <c r="G677" t="b">
        <v>1</v>
      </c>
      <c r="H677">
        <f>HYPERLINK("https://athena.uww.org/media/cache/person_default/uploads/images/crop/5b1946ee1ea74.png")</f>
        <v>0</v>
      </c>
      <c r="I677">
        <f>HYPERLINK("https://athena.uww.org/p/58876")</f>
        <v>0</v>
      </c>
    </row>
    <row r="678" spans="1:9">
      <c r="A678">
        <v>69758</v>
      </c>
      <c r="B678" t="s">
        <v>685</v>
      </c>
      <c r="C678" t="s">
        <v>1339</v>
      </c>
      <c r="D678" t="s">
        <v>1388</v>
      </c>
      <c r="E678" t="s">
        <v>1439</v>
      </c>
      <c r="F678" t="s">
        <v>2098</v>
      </c>
      <c r="G678" t="b">
        <v>1</v>
      </c>
      <c r="H678">
        <f>HYPERLINK("https://athena.uww.org/media/cache/person_default/uploads/images/crop/5d70f2c5a251d178518381.png")</f>
        <v>0</v>
      </c>
      <c r="I678">
        <f>HYPERLINK("https://athena.uww.org/p/69758")</f>
        <v>0</v>
      </c>
    </row>
    <row r="679" spans="1:9">
      <c r="A679">
        <v>59071</v>
      </c>
      <c r="B679" t="s">
        <v>686</v>
      </c>
      <c r="C679" t="s">
        <v>1339</v>
      </c>
      <c r="D679" t="s">
        <v>1388</v>
      </c>
      <c r="E679" t="s">
        <v>1439</v>
      </c>
      <c r="F679" t="s">
        <v>2099</v>
      </c>
      <c r="G679" t="b">
        <v>1</v>
      </c>
      <c r="H679">
        <f>HYPERLINK("https://athena.uww.org/media/cache/person_default/uploads/images/crop/66544dfb61207589997477.png")</f>
        <v>0</v>
      </c>
      <c r="I679">
        <f>HYPERLINK("https://athena.uww.org/p/59071")</f>
        <v>0</v>
      </c>
    </row>
    <row r="680" spans="1:9">
      <c r="A680">
        <v>58878</v>
      </c>
      <c r="B680" t="s">
        <v>687</v>
      </c>
      <c r="C680" t="s">
        <v>1339</v>
      </c>
      <c r="D680" t="s">
        <v>1388</v>
      </c>
      <c r="E680" t="s">
        <v>1439</v>
      </c>
      <c r="F680" t="s">
        <v>1910</v>
      </c>
      <c r="G680" t="b">
        <v>1</v>
      </c>
      <c r="H680">
        <f>HYPERLINK("https://athena.uww.org/media/cache/person_default/uploads/images/crop/6364c7af282a3705862952.png")</f>
        <v>0</v>
      </c>
      <c r="I680">
        <f>HYPERLINK("https://athena.uww.org/p/58878")</f>
        <v>0</v>
      </c>
    </row>
    <row r="681" spans="1:9">
      <c r="A681">
        <v>44</v>
      </c>
      <c r="B681" t="s">
        <v>688</v>
      </c>
      <c r="C681" t="s">
        <v>1339</v>
      </c>
      <c r="D681" t="s">
        <v>1388</v>
      </c>
      <c r="E681" t="s">
        <v>1439</v>
      </c>
      <c r="F681" t="s">
        <v>2100</v>
      </c>
      <c r="G681" t="b">
        <v>1</v>
      </c>
      <c r="H681">
        <f>HYPERLINK("https://athena.uww.org/media/cache/person_default/uploads/images/567a790995b9d.jpg")</f>
        <v>0</v>
      </c>
      <c r="I681">
        <f>HYPERLINK("https://athena.uww.org/p/44")</f>
        <v>0</v>
      </c>
    </row>
    <row r="682" spans="1:9">
      <c r="A682">
        <v>53710</v>
      </c>
      <c r="B682" t="s">
        <v>689</v>
      </c>
      <c r="C682" t="s">
        <v>1339</v>
      </c>
      <c r="D682" t="s">
        <v>1388</v>
      </c>
      <c r="E682" t="s">
        <v>1439</v>
      </c>
      <c r="F682" t="s">
        <v>2101</v>
      </c>
      <c r="G682" t="b">
        <v>1</v>
      </c>
      <c r="H682">
        <f>HYPERLINK("https://athena.uww.org/media/cache/person_default/uploads/images/crop/68d23e8929066021866605.png")</f>
        <v>0</v>
      </c>
      <c r="I682">
        <f>HYPERLINK("https://athena.uww.org/p/53710")</f>
        <v>0</v>
      </c>
    </row>
    <row r="683" spans="1:9">
      <c r="A683">
        <v>53678</v>
      </c>
      <c r="B683" t="s">
        <v>690</v>
      </c>
      <c r="C683" t="s">
        <v>1339</v>
      </c>
      <c r="D683" t="s">
        <v>1388</v>
      </c>
      <c r="E683" t="s">
        <v>1439</v>
      </c>
      <c r="F683" t="s">
        <v>2102</v>
      </c>
      <c r="G683" t="b">
        <v>1</v>
      </c>
      <c r="H683">
        <f>HYPERLINK("https://athena.uww.org/media/cache/person_default/uploads/images/crop/5db69b0a37dab453346242.png")</f>
        <v>0</v>
      </c>
      <c r="I683">
        <f>HYPERLINK("https://athena.uww.org/p/53678")</f>
        <v>0</v>
      </c>
    </row>
    <row r="684" spans="1:9">
      <c r="A684">
        <v>53709</v>
      </c>
      <c r="B684" t="s">
        <v>691</v>
      </c>
      <c r="C684" t="s">
        <v>1339</v>
      </c>
      <c r="D684" t="s">
        <v>1388</v>
      </c>
      <c r="E684" t="s">
        <v>1439</v>
      </c>
      <c r="F684" t="s">
        <v>2103</v>
      </c>
      <c r="G684" t="b">
        <v>1</v>
      </c>
      <c r="H684">
        <f>HYPERLINK("https://athena.uww.org/media/cache/person_default/uploads/images/crop/625e6d341e27b231547101.png")</f>
        <v>0</v>
      </c>
      <c r="I684">
        <f>HYPERLINK("https://athena.uww.org/p/53709")</f>
        <v>0</v>
      </c>
    </row>
    <row r="685" spans="1:9">
      <c r="A685">
        <v>95576</v>
      </c>
      <c r="B685" t="s">
        <v>692</v>
      </c>
      <c r="C685" t="s">
        <v>1339</v>
      </c>
      <c r="D685" t="s">
        <v>1388</v>
      </c>
      <c r="E685" t="s">
        <v>1439</v>
      </c>
      <c r="F685" t="s">
        <v>2104</v>
      </c>
      <c r="G685" t="b">
        <v>1</v>
      </c>
      <c r="H685">
        <f>HYPERLINK("https://athena.uww.org/media/cache/person_default/uploads/images/crop/65113191a7d75925476827.png")</f>
        <v>0</v>
      </c>
      <c r="I685">
        <f>HYPERLINK("https://athena.uww.org/p/95576")</f>
        <v>0</v>
      </c>
    </row>
    <row r="686" spans="1:9">
      <c r="A686">
        <v>108605</v>
      </c>
      <c r="B686" t="s">
        <v>693</v>
      </c>
      <c r="C686" t="s">
        <v>1339</v>
      </c>
      <c r="D686" t="s">
        <v>1388</v>
      </c>
      <c r="E686" t="s">
        <v>1442</v>
      </c>
      <c r="F686" t="s">
        <v>2105</v>
      </c>
      <c r="G686" t="b">
        <v>1</v>
      </c>
      <c r="H686">
        <f>HYPERLINK("https://athena.uww.org/media/cache/person_default/uploads/images/crop/683fe817d2d65410137983.png")</f>
        <v>0</v>
      </c>
      <c r="I686">
        <f>HYPERLINK("https://athena.uww.org/p/108605")</f>
        <v>0</v>
      </c>
    </row>
    <row r="687" spans="1:9">
      <c r="A687">
        <v>53697</v>
      </c>
      <c r="B687" t="s">
        <v>694</v>
      </c>
      <c r="C687" t="s">
        <v>1339</v>
      </c>
      <c r="D687" t="s">
        <v>1388</v>
      </c>
      <c r="E687" t="s">
        <v>1442</v>
      </c>
      <c r="F687" t="s">
        <v>2106</v>
      </c>
      <c r="G687" t="b">
        <v>1</v>
      </c>
      <c r="H687">
        <f>HYPERLINK("https://athena.uww.org/media/cache/person_default/uploads/images/crop/6837ec0160274038237308.png")</f>
        <v>0</v>
      </c>
      <c r="I687">
        <f>HYPERLINK("https://athena.uww.org/p/53697")</f>
        <v>0</v>
      </c>
    </row>
    <row r="688" spans="1:9">
      <c r="A688">
        <v>108597</v>
      </c>
      <c r="B688" t="s">
        <v>695</v>
      </c>
      <c r="C688" t="s">
        <v>1339</v>
      </c>
      <c r="D688" t="s">
        <v>1388</v>
      </c>
      <c r="E688" t="s">
        <v>1442</v>
      </c>
      <c r="F688" t="s">
        <v>2107</v>
      </c>
      <c r="G688" t="b">
        <v>1</v>
      </c>
      <c r="H688">
        <f>HYPERLINK("https://athena.uww.org/media/cache/person_default/uploads/images/crop/683fe84aaa0e0529768392.png")</f>
        <v>0</v>
      </c>
      <c r="I688">
        <f>HYPERLINK("https://athena.uww.org/p/108597")</f>
        <v>0</v>
      </c>
    </row>
    <row r="689" spans="1:9">
      <c r="A689">
        <v>53680</v>
      </c>
      <c r="B689" t="s">
        <v>696</v>
      </c>
      <c r="C689" t="s">
        <v>1339</v>
      </c>
      <c r="D689" t="s">
        <v>1388</v>
      </c>
      <c r="E689" t="s">
        <v>1442</v>
      </c>
      <c r="F689" t="s">
        <v>2108</v>
      </c>
      <c r="G689" t="b">
        <v>1</v>
      </c>
      <c r="H689">
        <f>HYPERLINK("https://athena.uww.org/media/cache/person_default/uploads/images/crop/68414dae16d6a096609401.png")</f>
        <v>0</v>
      </c>
      <c r="I689">
        <f>HYPERLINK("https://athena.uww.org/p/53680")</f>
        <v>0</v>
      </c>
    </row>
    <row r="690" spans="1:9">
      <c r="A690">
        <v>14367</v>
      </c>
      <c r="B690" t="s">
        <v>697</v>
      </c>
      <c r="C690" t="s">
        <v>1339</v>
      </c>
      <c r="D690" t="s">
        <v>1388</v>
      </c>
      <c r="E690" t="s">
        <v>1442</v>
      </c>
      <c r="F690" t="s">
        <v>2109</v>
      </c>
      <c r="G690" t="b">
        <v>1</v>
      </c>
      <c r="H690">
        <f>HYPERLINK("https://athena.uww.org/media/cache/person_default/uploads/images/crop/67f50bc8266b8240046477.png")</f>
        <v>0</v>
      </c>
      <c r="I690">
        <f>HYPERLINK("https://athena.uww.org/p/14367")</f>
        <v>0</v>
      </c>
    </row>
    <row r="691" spans="1:9">
      <c r="A691">
        <v>53705</v>
      </c>
      <c r="B691" t="s">
        <v>698</v>
      </c>
      <c r="C691" t="s">
        <v>1339</v>
      </c>
      <c r="D691" t="s">
        <v>1388</v>
      </c>
      <c r="E691" t="s">
        <v>1442</v>
      </c>
      <c r="F691" t="s">
        <v>2110</v>
      </c>
      <c r="G691" t="b">
        <v>1</v>
      </c>
      <c r="H691">
        <f>HYPERLINK("https://athena.uww.org/media/cache/person_default/uploads/images/crop/684a9a5c036a4940892004.png")</f>
        <v>0</v>
      </c>
      <c r="I691">
        <f>HYPERLINK("https://athena.uww.org/p/53705")</f>
        <v>0</v>
      </c>
    </row>
    <row r="692" spans="1:9">
      <c r="A692">
        <v>5221</v>
      </c>
      <c r="B692" t="s">
        <v>699</v>
      </c>
      <c r="C692" t="s">
        <v>1340</v>
      </c>
      <c r="D692" t="s">
        <v>1389</v>
      </c>
      <c r="E692" t="s">
        <v>1440</v>
      </c>
      <c r="F692" t="s">
        <v>2111</v>
      </c>
      <c r="G692" t="b">
        <v>1</v>
      </c>
      <c r="H692">
        <f>HYPERLINK("https://athena.uww.org/media/cache/person_default/uploads/images/crop/63cba1ab268ae248339547.png")</f>
        <v>0</v>
      </c>
      <c r="I692">
        <f>HYPERLINK("https://athena.uww.org/p/5221")</f>
        <v>0</v>
      </c>
    </row>
    <row r="693" spans="1:9">
      <c r="A693">
        <v>30984</v>
      </c>
      <c r="B693" t="s">
        <v>700</v>
      </c>
      <c r="C693" t="s">
        <v>1340</v>
      </c>
      <c r="D693" t="s">
        <v>1389</v>
      </c>
      <c r="E693" t="s">
        <v>1440</v>
      </c>
      <c r="F693" t="s">
        <v>2112</v>
      </c>
      <c r="G693" t="b">
        <v>1</v>
      </c>
      <c r="H693">
        <f>HYPERLINK("https://athena.uww.org/media/cache/person_default/uploads/images/crop/58f71d7159313.png")</f>
        <v>0</v>
      </c>
      <c r="I693">
        <f>HYPERLINK("https://athena.uww.org/p/30984")</f>
        <v>0</v>
      </c>
    </row>
    <row r="694" spans="1:9">
      <c r="A694">
        <v>51</v>
      </c>
      <c r="B694" t="s">
        <v>701</v>
      </c>
      <c r="C694" t="s">
        <v>1340</v>
      </c>
      <c r="D694" t="s">
        <v>1389</v>
      </c>
      <c r="E694" t="s">
        <v>1440</v>
      </c>
      <c r="F694" t="s">
        <v>2113</v>
      </c>
      <c r="G694" t="b">
        <v>1</v>
      </c>
      <c r="H694">
        <f>HYPERLINK("https://athena.uww.org/media/cache/person_default/uploads/images/crop/63cba193e944b659539006.png")</f>
        <v>0</v>
      </c>
      <c r="I694">
        <f>HYPERLINK("https://athena.uww.org/p/51")</f>
        <v>0</v>
      </c>
    </row>
    <row r="695" spans="1:9">
      <c r="A695">
        <v>5006</v>
      </c>
      <c r="B695" t="s">
        <v>702</v>
      </c>
      <c r="C695" t="s">
        <v>1339</v>
      </c>
      <c r="D695" t="s">
        <v>1389</v>
      </c>
      <c r="E695" t="s">
        <v>1440</v>
      </c>
      <c r="F695" t="s">
        <v>2114</v>
      </c>
      <c r="G695" t="b">
        <v>1</v>
      </c>
      <c r="H695">
        <f>HYPERLINK("https://athena.uww.org/media/cache/person_default/uploads/images/referee-5006.jpg")</f>
        <v>0</v>
      </c>
      <c r="I695">
        <f>HYPERLINK("https://athena.uww.org/p/5006")</f>
        <v>0</v>
      </c>
    </row>
    <row r="696" spans="1:9">
      <c r="A696">
        <v>41784</v>
      </c>
      <c r="B696" t="s">
        <v>703</v>
      </c>
      <c r="C696" t="s">
        <v>1340</v>
      </c>
      <c r="D696" t="s">
        <v>1389</v>
      </c>
      <c r="E696" t="s">
        <v>1441</v>
      </c>
      <c r="F696" t="s">
        <v>2115</v>
      </c>
      <c r="G696" t="b">
        <v>1</v>
      </c>
      <c r="H696">
        <f>HYPERLINK("https://athena.uww.org/media/cache/person_default/uploads/images/crop/580f1f60dd60d.png")</f>
        <v>0</v>
      </c>
      <c r="I696">
        <f>HYPERLINK("https://athena.uww.org/p/41784")</f>
        <v>0</v>
      </c>
    </row>
    <row r="697" spans="1:9">
      <c r="A697">
        <v>4714</v>
      </c>
      <c r="B697" t="s">
        <v>704</v>
      </c>
      <c r="C697" t="s">
        <v>1339</v>
      </c>
      <c r="D697" t="s">
        <v>1389</v>
      </c>
      <c r="E697" t="s">
        <v>1441</v>
      </c>
      <c r="F697" t="s">
        <v>2116</v>
      </c>
      <c r="G697" t="b">
        <v>1</v>
      </c>
      <c r="H697">
        <f>HYPERLINK("https://athena.uww.org/media/cache/person_default/uploads/images/referee-4714.jpg")</f>
        <v>0</v>
      </c>
      <c r="I697">
        <f>HYPERLINK("https://athena.uww.org/p/4714")</f>
        <v>0</v>
      </c>
    </row>
    <row r="698" spans="1:9">
      <c r="A698">
        <v>4566</v>
      </c>
      <c r="B698" t="s">
        <v>705</v>
      </c>
      <c r="C698" t="s">
        <v>1339</v>
      </c>
      <c r="D698" t="s">
        <v>1389</v>
      </c>
      <c r="E698" t="s">
        <v>1441</v>
      </c>
      <c r="F698" t="s">
        <v>2117</v>
      </c>
      <c r="G698" t="b">
        <v>1</v>
      </c>
      <c r="H698">
        <f>HYPERLINK("https://athena.uww.org/media/cache/person_default/uploads/images/referee-4566.jpg")</f>
        <v>0</v>
      </c>
      <c r="I698">
        <f>HYPERLINK("https://athena.uww.org/p/4566")</f>
        <v>0</v>
      </c>
    </row>
    <row r="699" spans="1:9">
      <c r="A699">
        <v>66446</v>
      </c>
      <c r="B699" t="s">
        <v>706</v>
      </c>
      <c r="C699" t="s">
        <v>1339</v>
      </c>
      <c r="D699" t="s">
        <v>1389</v>
      </c>
      <c r="E699" t="s">
        <v>1441</v>
      </c>
      <c r="F699" t="s">
        <v>2118</v>
      </c>
      <c r="G699" t="b">
        <v>1</v>
      </c>
      <c r="H699">
        <f>HYPERLINK("https://athena.uww.org/media/cache/person_default/uploads/images/crop/5cd95303d68ae524121085.png")</f>
        <v>0</v>
      </c>
      <c r="I699">
        <f>HYPERLINK("https://athena.uww.org/p/66446")</f>
        <v>0</v>
      </c>
    </row>
    <row r="700" spans="1:9">
      <c r="A700">
        <v>83905</v>
      </c>
      <c r="B700" t="s">
        <v>707</v>
      </c>
      <c r="C700" t="s">
        <v>1339</v>
      </c>
      <c r="D700" t="s">
        <v>1389</v>
      </c>
      <c r="E700" t="s">
        <v>1441</v>
      </c>
      <c r="F700" t="s">
        <v>2119</v>
      </c>
      <c r="G700" t="b">
        <v>1</v>
      </c>
      <c r="H700">
        <f>HYPERLINK("https://athena.uww.org/media/cache/person_default/uploads/images/crop/6295c0f8d5b28039122376.png")</f>
        <v>0</v>
      </c>
      <c r="I700">
        <f>HYPERLINK("https://athena.uww.org/p/83905")</f>
        <v>0</v>
      </c>
    </row>
    <row r="701" spans="1:9">
      <c r="A701">
        <v>5136</v>
      </c>
      <c r="B701" t="s">
        <v>708</v>
      </c>
      <c r="C701" t="s">
        <v>1339</v>
      </c>
      <c r="D701" t="s">
        <v>1389</v>
      </c>
      <c r="E701" t="s">
        <v>1441</v>
      </c>
      <c r="F701" t="s">
        <v>2120</v>
      </c>
      <c r="G701" t="b">
        <v>1</v>
      </c>
      <c r="H701">
        <f>HYPERLINK("https://athena.uww.org/media/cache/person_default/uploads/images/referee-5136.jpg")</f>
        <v>0</v>
      </c>
      <c r="I701">
        <f>HYPERLINK("https://athena.uww.org/p/5136")</f>
        <v>0</v>
      </c>
    </row>
    <row r="702" spans="1:9">
      <c r="A702">
        <v>41760</v>
      </c>
      <c r="B702" t="s">
        <v>709</v>
      </c>
      <c r="C702" t="s">
        <v>1339</v>
      </c>
      <c r="D702" t="s">
        <v>1389</v>
      </c>
      <c r="E702" t="s">
        <v>1441</v>
      </c>
      <c r="F702" t="s">
        <v>2121</v>
      </c>
      <c r="G702" t="b">
        <v>1</v>
      </c>
      <c r="H702">
        <f>HYPERLINK("https://athena.uww.org/media/cache/person_default/uploads/images/crop/580e156971ebe.png")</f>
        <v>0</v>
      </c>
      <c r="I702">
        <f>HYPERLINK("https://athena.uww.org/p/41760")</f>
        <v>0</v>
      </c>
    </row>
    <row r="703" spans="1:9">
      <c r="A703">
        <v>78144</v>
      </c>
      <c r="B703" t="s">
        <v>710</v>
      </c>
      <c r="C703" t="s">
        <v>1339</v>
      </c>
      <c r="D703" t="s">
        <v>1389</v>
      </c>
      <c r="E703" t="s">
        <v>1441</v>
      </c>
      <c r="F703" t="s">
        <v>2122</v>
      </c>
      <c r="G703" t="b">
        <v>1</v>
      </c>
      <c r="H703">
        <f>HYPERLINK("https://athena.uww.org/media/cache/person_default/uploads/images/crop/6130b629ae852794253553.png")</f>
        <v>0</v>
      </c>
      <c r="I703">
        <f>HYPERLINK("https://athena.uww.org/p/78144")</f>
        <v>0</v>
      </c>
    </row>
    <row r="704" spans="1:9">
      <c r="A704">
        <v>4121</v>
      </c>
      <c r="B704" t="s">
        <v>711</v>
      </c>
      <c r="C704" t="s">
        <v>1339</v>
      </c>
      <c r="D704" t="s">
        <v>1389</v>
      </c>
      <c r="E704" t="s">
        <v>1441</v>
      </c>
      <c r="F704" t="s">
        <v>2123</v>
      </c>
      <c r="G704" t="b">
        <v>1</v>
      </c>
      <c r="H704">
        <f>HYPERLINK("https://athena.uww.org/media/cache/person_default/uploads/images/referee-4121.jpg")</f>
        <v>0</v>
      </c>
      <c r="I704">
        <f>HYPERLINK("https://athena.uww.org/p/4121")</f>
        <v>0</v>
      </c>
    </row>
    <row r="705" spans="1:9">
      <c r="A705">
        <v>28</v>
      </c>
      <c r="B705" t="s">
        <v>712</v>
      </c>
      <c r="C705" t="s">
        <v>1339</v>
      </c>
      <c r="D705" t="s">
        <v>1389</v>
      </c>
      <c r="E705" t="s">
        <v>1439</v>
      </c>
      <c r="F705" t="s">
        <v>2124</v>
      </c>
      <c r="G705" t="b">
        <v>1</v>
      </c>
      <c r="H705">
        <f>HYPERLINK("https://athena.uww.org/media/cache/person_default/uploads/images/567a74ff1d80a.jpg")</f>
        <v>0</v>
      </c>
      <c r="I705">
        <f>HYPERLINK("https://athena.uww.org/p/28")</f>
        <v>0</v>
      </c>
    </row>
    <row r="706" spans="1:9">
      <c r="A706">
        <v>19757</v>
      </c>
      <c r="B706" t="s">
        <v>713</v>
      </c>
      <c r="C706" t="s">
        <v>1340</v>
      </c>
      <c r="D706" t="s">
        <v>1389</v>
      </c>
      <c r="E706" t="s">
        <v>1439</v>
      </c>
      <c r="F706" t="s">
        <v>2125</v>
      </c>
      <c r="G706" t="b">
        <v>1</v>
      </c>
      <c r="H706">
        <f>HYPERLINK("https://athena.uww.org/media/cache/person_default/uploads/images/crop/5da441898e33f402134662.png")</f>
        <v>0</v>
      </c>
      <c r="I706">
        <f>HYPERLINK("https://athena.uww.org/p/19757")</f>
        <v>0</v>
      </c>
    </row>
    <row r="707" spans="1:9">
      <c r="A707">
        <v>5391</v>
      </c>
      <c r="B707" t="s">
        <v>714</v>
      </c>
      <c r="C707" t="s">
        <v>1339</v>
      </c>
      <c r="D707" t="s">
        <v>1389</v>
      </c>
      <c r="E707" t="s">
        <v>1439</v>
      </c>
      <c r="F707" t="s">
        <v>2126</v>
      </c>
      <c r="G707" t="b">
        <v>1</v>
      </c>
      <c r="H707">
        <f>HYPERLINK("https://athena.uww.org/media/cache/person_default/uploads/images/crop/5d243102625a8958340737.png")</f>
        <v>0</v>
      </c>
      <c r="I707">
        <f>HYPERLINK("https://athena.uww.org/p/5391")</f>
        <v>0</v>
      </c>
    </row>
    <row r="708" spans="1:9">
      <c r="A708">
        <v>11707</v>
      </c>
      <c r="B708" t="s">
        <v>715</v>
      </c>
      <c r="C708" t="s">
        <v>1340</v>
      </c>
      <c r="D708" t="s">
        <v>1389</v>
      </c>
      <c r="E708" t="s">
        <v>1439</v>
      </c>
      <c r="F708" t="s">
        <v>2127</v>
      </c>
      <c r="G708" t="b">
        <v>1</v>
      </c>
      <c r="H708">
        <f>HYPERLINK("https://athena.uww.org/media/cache/person_default/uploads/images/crop/6282f7641e853044180487.png")</f>
        <v>0</v>
      </c>
      <c r="I708">
        <f>HYPERLINK("https://athena.uww.org/p/11707")</f>
        <v>0</v>
      </c>
    </row>
    <row r="709" spans="1:9">
      <c r="A709">
        <v>5003</v>
      </c>
      <c r="B709" t="s">
        <v>716</v>
      </c>
      <c r="C709" t="s">
        <v>1339</v>
      </c>
      <c r="D709" t="s">
        <v>1389</v>
      </c>
      <c r="E709" t="s">
        <v>1439</v>
      </c>
      <c r="F709" t="s">
        <v>2128</v>
      </c>
      <c r="G709" t="b">
        <v>1</v>
      </c>
      <c r="H709">
        <f>HYPERLINK("https://athena.uww.org/media/cache/person_default/uploads/images/referee-5003.jpg")</f>
        <v>0</v>
      </c>
      <c r="I709">
        <f>HYPERLINK("https://athena.uww.org/p/5003")</f>
        <v>0</v>
      </c>
    </row>
    <row r="710" spans="1:9">
      <c r="A710">
        <v>29</v>
      </c>
      <c r="B710" t="s">
        <v>717</v>
      </c>
      <c r="C710" t="s">
        <v>1339</v>
      </c>
      <c r="D710" t="s">
        <v>1389</v>
      </c>
      <c r="E710" t="s">
        <v>1439</v>
      </c>
      <c r="F710" t="s">
        <v>2129</v>
      </c>
      <c r="G710" t="b">
        <v>1</v>
      </c>
      <c r="H710">
        <f>HYPERLINK("https://athena.uww.org/media/cache/person_default/uploads/images/567a7570158df.jpg")</f>
        <v>0</v>
      </c>
      <c r="I710">
        <f>HYPERLINK("https://athena.uww.org/p/29")</f>
        <v>0</v>
      </c>
    </row>
    <row r="711" spans="1:9">
      <c r="A711">
        <v>66456</v>
      </c>
      <c r="B711" t="s">
        <v>718</v>
      </c>
      <c r="C711" t="s">
        <v>1339</v>
      </c>
      <c r="D711" t="s">
        <v>1389</v>
      </c>
      <c r="E711" t="s">
        <v>1439</v>
      </c>
      <c r="F711" t="s">
        <v>2130</v>
      </c>
      <c r="G711" t="b">
        <v>1</v>
      </c>
      <c r="H711">
        <f>HYPERLINK("https://athena.uww.org/media/cache/person_default/uploads/images/5cd933e2248a5674592776.jpg")</f>
        <v>0</v>
      </c>
      <c r="I711">
        <f>HYPERLINK("https://athena.uww.org/p/66456")</f>
        <v>0</v>
      </c>
    </row>
    <row r="712" spans="1:9">
      <c r="A712">
        <v>8546</v>
      </c>
      <c r="B712" t="s">
        <v>719</v>
      </c>
      <c r="C712" t="s">
        <v>1339</v>
      </c>
      <c r="D712" t="s">
        <v>1389</v>
      </c>
      <c r="E712" t="s">
        <v>1439</v>
      </c>
      <c r="F712" t="s">
        <v>2131</v>
      </c>
      <c r="G712" t="b">
        <v>1</v>
      </c>
      <c r="H712">
        <f>HYPERLINK("https://athena.uww.org/media/cache/person_default/uploads/images/crop/64799305f1356245150757.png")</f>
        <v>0</v>
      </c>
      <c r="I712">
        <f>HYPERLINK("https://athena.uww.org/p/8546")</f>
        <v>0</v>
      </c>
    </row>
    <row r="713" spans="1:9">
      <c r="A713">
        <v>5135</v>
      </c>
      <c r="B713" t="s">
        <v>720</v>
      </c>
      <c r="C713" t="s">
        <v>1339</v>
      </c>
      <c r="D713" t="s">
        <v>1389</v>
      </c>
      <c r="E713" t="s">
        <v>1439</v>
      </c>
      <c r="F713" t="s">
        <v>2132</v>
      </c>
      <c r="G713" t="b">
        <v>1</v>
      </c>
      <c r="H713">
        <f>HYPERLINK("https://athena.uww.org/media/cache/person_default/uploads/images/referee-5135.jpg")</f>
        <v>0</v>
      </c>
      <c r="I713">
        <f>HYPERLINK("https://athena.uww.org/p/5135")</f>
        <v>0</v>
      </c>
    </row>
    <row r="714" spans="1:9">
      <c r="A714">
        <v>5388</v>
      </c>
      <c r="B714" t="s">
        <v>721</v>
      </c>
      <c r="C714" t="s">
        <v>1339</v>
      </c>
      <c r="D714" t="s">
        <v>1389</v>
      </c>
      <c r="E714" t="s">
        <v>1442</v>
      </c>
      <c r="F714" t="s">
        <v>2133</v>
      </c>
      <c r="G714" t="b">
        <v>0</v>
      </c>
      <c r="H714">
        <f>HYPERLINK("https://athena.uww.org/media/cache/person_default/uploads/images/referee-5388.jpg")</f>
        <v>0</v>
      </c>
      <c r="I714">
        <f>HYPERLINK("https://athena.uww.org/p/5388")</f>
        <v>0</v>
      </c>
    </row>
    <row r="715" spans="1:9">
      <c r="A715">
        <v>52</v>
      </c>
      <c r="B715" t="s">
        <v>722</v>
      </c>
      <c r="C715" t="s">
        <v>1339</v>
      </c>
      <c r="D715" t="s">
        <v>1389</v>
      </c>
      <c r="E715" t="s">
        <v>1442</v>
      </c>
      <c r="F715" t="s">
        <v>2134</v>
      </c>
      <c r="G715" t="b">
        <v>0</v>
      </c>
      <c r="H715">
        <f>HYPERLINK("https://athena.uww.org/media/cache/person_default/uploads/images/567a7aa6cea29.jpg")</f>
        <v>0</v>
      </c>
      <c r="I715">
        <f>HYPERLINK("https://athena.uww.org/p/52")</f>
        <v>0</v>
      </c>
    </row>
    <row r="716" spans="1:9">
      <c r="A716">
        <v>83325</v>
      </c>
      <c r="B716" t="s">
        <v>723</v>
      </c>
      <c r="C716" t="s">
        <v>1339</v>
      </c>
      <c r="D716" t="s">
        <v>1389</v>
      </c>
      <c r="E716" t="s">
        <v>1442</v>
      </c>
      <c r="F716" t="s">
        <v>2135</v>
      </c>
      <c r="G716" t="b">
        <v>1</v>
      </c>
      <c r="H716">
        <f>HYPERLINK("https://athena.uww.org/media/cache/person_default/uploads/images/crop/628c6a863f13b737906396.png")</f>
        <v>0</v>
      </c>
      <c r="I716">
        <f>HYPERLINK("https://athena.uww.org/p/83325")</f>
        <v>0</v>
      </c>
    </row>
    <row r="717" spans="1:9">
      <c r="A717">
        <v>692</v>
      </c>
      <c r="B717" t="s">
        <v>724</v>
      </c>
      <c r="C717" t="s">
        <v>1339</v>
      </c>
      <c r="D717" t="s">
        <v>1389</v>
      </c>
      <c r="E717" t="s">
        <v>1442</v>
      </c>
      <c r="F717" t="s">
        <v>2136</v>
      </c>
      <c r="G717" t="b">
        <v>1</v>
      </c>
      <c r="H717">
        <f>HYPERLINK("https://athena.uww.org/media/cache/person_default/uploads/images/crop/64acd4076630b327857505.png")</f>
        <v>0</v>
      </c>
      <c r="I717">
        <f>HYPERLINK("https://athena.uww.org/p/692")</f>
        <v>0</v>
      </c>
    </row>
    <row r="718" spans="1:9">
      <c r="A718">
        <v>8265</v>
      </c>
      <c r="B718" t="s">
        <v>725</v>
      </c>
      <c r="C718" t="s">
        <v>1339</v>
      </c>
      <c r="D718" t="s">
        <v>1389</v>
      </c>
      <c r="E718" t="s">
        <v>1442</v>
      </c>
      <c r="F718" t="s">
        <v>2137</v>
      </c>
      <c r="G718" t="b">
        <v>1</v>
      </c>
      <c r="H718">
        <f>HYPERLINK("https://athena.uww.org/media/cache/person_default/uploads/images/crop/63c90b96b046f163197186.png")</f>
        <v>0</v>
      </c>
      <c r="I718">
        <f>HYPERLINK("https://athena.uww.org/p/8265")</f>
        <v>0</v>
      </c>
    </row>
    <row r="719" spans="1:9">
      <c r="A719">
        <v>55208</v>
      </c>
      <c r="B719" t="s">
        <v>726</v>
      </c>
      <c r="C719" t="s">
        <v>1339</v>
      </c>
      <c r="D719" t="s">
        <v>1389</v>
      </c>
      <c r="E719" t="s">
        <v>1442</v>
      </c>
      <c r="F719" t="s">
        <v>2137</v>
      </c>
      <c r="G719" t="b">
        <v>1</v>
      </c>
      <c r="H719">
        <f>HYPERLINK("https://athena.uww.org/media/cache/person_default/uploads/images/crop/6470b498c26ba814163336.png")</f>
        <v>0</v>
      </c>
      <c r="I719">
        <f>HYPERLINK("https://athena.uww.org/p/55208")</f>
        <v>0</v>
      </c>
    </row>
    <row r="720" spans="1:9">
      <c r="A720">
        <v>4659</v>
      </c>
      <c r="B720" t="s">
        <v>727</v>
      </c>
      <c r="C720" t="s">
        <v>1339</v>
      </c>
      <c r="D720" t="s">
        <v>1389</v>
      </c>
      <c r="E720" t="s">
        <v>1442</v>
      </c>
      <c r="F720" t="s">
        <v>2138</v>
      </c>
      <c r="G720" t="b">
        <v>1</v>
      </c>
      <c r="H720">
        <f>HYPERLINK("https://athena.uww.org/media/cache/person_default/uploads/images/crop/657f382ee16ff713315220.png")</f>
        <v>0</v>
      </c>
      <c r="I720">
        <f>HYPERLINK("https://athena.uww.org/p/4659")</f>
        <v>0</v>
      </c>
    </row>
    <row r="721" spans="1:9">
      <c r="A721">
        <v>5132</v>
      </c>
      <c r="B721" t="s">
        <v>728</v>
      </c>
      <c r="C721" t="s">
        <v>1339</v>
      </c>
      <c r="D721" t="s">
        <v>1389</v>
      </c>
      <c r="E721" t="s">
        <v>1442</v>
      </c>
      <c r="F721" t="s">
        <v>2139</v>
      </c>
      <c r="G721" t="b">
        <v>0</v>
      </c>
      <c r="H721">
        <f>HYPERLINK("https://athena.uww.org/media/cache/person_default/uploads/images/referee-5132.jpg")</f>
        <v>0</v>
      </c>
      <c r="I721">
        <f>HYPERLINK("https://athena.uww.org/p/5132")</f>
        <v>0</v>
      </c>
    </row>
    <row r="722" spans="1:9">
      <c r="A722">
        <v>96751</v>
      </c>
      <c r="B722" t="s">
        <v>729</v>
      </c>
      <c r="C722" t="s">
        <v>1339</v>
      </c>
      <c r="D722" t="s">
        <v>1389</v>
      </c>
      <c r="E722" t="s">
        <v>1442</v>
      </c>
      <c r="F722" t="s">
        <v>2140</v>
      </c>
      <c r="G722" t="b">
        <v>1</v>
      </c>
      <c r="H722">
        <f>HYPERLINK("https://athena.uww.org/media/cache/person_default/uploads/images/crop/657cf3fb4c37d568904158.png")</f>
        <v>0</v>
      </c>
      <c r="I722">
        <f>HYPERLINK("https://athena.uww.org/p/96751")</f>
        <v>0</v>
      </c>
    </row>
    <row r="723" spans="1:9">
      <c r="A723">
        <v>8266</v>
      </c>
      <c r="B723" t="s">
        <v>730</v>
      </c>
      <c r="C723" t="s">
        <v>1339</v>
      </c>
      <c r="D723" t="s">
        <v>1389</v>
      </c>
      <c r="E723" t="s">
        <v>1442</v>
      </c>
      <c r="F723" t="s">
        <v>2141</v>
      </c>
      <c r="G723" t="b">
        <v>1</v>
      </c>
      <c r="H723">
        <f>HYPERLINK("https://athena.uww.org/media/cache/person_default/uploads/images/crop/67b85b79820c5020613919.png")</f>
        <v>0</v>
      </c>
      <c r="I723">
        <f>HYPERLINK("https://athena.uww.org/p/8266")</f>
        <v>0</v>
      </c>
    </row>
    <row r="724" spans="1:9">
      <c r="A724">
        <v>64200</v>
      </c>
      <c r="B724" t="s">
        <v>731</v>
      </c>
      <c r="C724" t="s">
        <v>1339</v>
      </c>
      <c r="D724" t="s">
        <v>1389</v>
      </c>
      <c r="E724" t="s">
        <v>1442</v>
      </c>
      <c r="F724" t="s">
        <v>2142</v>
      </c>
      <c r="G724" t="b">
        <v>1</v>
      </c>
      <c r="H724">
        <f>HYPERLINK("https://athena.uww.org/media/cache/person_default/uploads/images/5c8f08617b29f991503366.jpg")</f>
        <v>0</v>
      </c>
      <c r="I724">
        <f>HYPERLINK("https://athena.uww.org/p/64200")</f>
        <v>0</v>
      </c>
    </row>
    <row r="725" spans="1:9">
      <c r="A725">
        <v>78145</v>
      </c>
      <c r="B725" t="s">
        <v>732</v>
      </c>
      <c r="C725" t="s">
        <v>1339</v>
      </c>
      <c r="D725" t="s">
        <v>1389</v>
      </c>
      <c r="E725" t="s">
        <v>1442</v>
      </c>
      <c r="F725" t="s">
        <v>2143</v>
      </c>
      <c r="G725" t="b">
        <v>1</v>
      </c>
      <c r="H725">
        <f>HYPERLINK("https://athena.uww.org/media/cache/person_default/uploads/images/crop/6130b6cd323f5587293167.png")</f>
        <v>0</v>
      </c>
      <c r="I725">
        <f>HYPERLINK("https://athena.uww.org/p/78145")</f>
        <v>0</v>
      </c>
    </row>
    <row r="726" spans="1:9">
      <c r="A726">
        <v>83013</v>
      </c>
      <c r="B726" t="s">
        <v>733</v>
      </c>
      <c r="C726" t="s">
        <v>1339</v>
      </c>
      <c r="D726" t="s">
        <v>1389</v>
      </c>
      <c r="E726" t="s">
        <v>1442</v>
      </c>
      <c r="F726" t="s">
        <v>2144</v>
      </c>
      <c r="G726" t="b">
        <v>1</v>
      </c>
      <c r="H726">
        <f>HYPERLINK("https://athena.uww.org/media/cache/person_default/uploads/images/crop/62836f7878c90751080101.png")</f>
        <v>0</v>
      </c>
      <c r="I726">
        <f>HYPERLINK("https://athena.uww.org/p/83013")</f>
        <v>0</v>
      </c>
    </row>
    <row r="727" spans="1:9">
      <c r="A727">
        <v>4816</v>
      </c>
      <c r="B727" t="s">
        <v>734</v>
      </c>
      <c r="C727" t="s">
        <v>1339</v>
      </c>
      <c r="D727" t="s">
        <v>1389</v>
      </c>
      <c r="E727" t="s">
        <v>1442</v>
      </c>
      <c r="F727" t="s">
        <v>2145</v>
      </c>
      <c r="G727" t="b">
        <v>1</v>
      </c>
      <c r="H727">
        <f>HYPERLINK("https://athena.uww.org/media/cache/person_default/uploads/images/5672ee772c288.jpg")</f>
        <v>0</v>
      </c>
      <c r="I727">
        <f>HYPERLINK("https://athena.uww.org/p/4816")</f>
        <v>0</v>
      </c>
    </row>
    <row r="728" spans="1:9">
      <c r="A728">
        <v>3995</v>
      </c>
      <c r="B728" t="s">
        <v>735</v>
      </c>
      <c r="C728" t="s">
        <v>1339</v>
      </c>
      <c r="D728" t="s">
        <v>1389</v>
      </c>
      <c r="E728" t="s">
        <v>1442</v>
      </c>
      <c r="F728" t="s">
        <v>2146</v>
      </c>
      <c r="G728" t="b">
        <v>1</v>
      </c>
      <c r="H728">
        <f>HYPERLINK("https://athena.uww.org/media/cache/person_default/uploads/images/566e51c99f1f4.jpg")</f>
        <v>0</v>
      </c>
      <c r="I728">
        <f>HYPERLINK("https://athena.uww.org/p/3995")</f>
        <v>0</v>
      </c>
    </row>
    <row r="729" spans="1:9">
      <c r="A729">
        <v>78143</v>
      </c>
      <c r="B729" t="s">
        <v>736</v>
      </c>
      <c r="C729" t="s">
        <v>1339</v>
      </c>
      <c r="D729" t="s">
        <v>1389</v>
      </c>
      <c r="E729" t="s">
        <v>1442</v>
      </c>
      <c r="F729" t="s">
        <v>2147</v>
      </c>
      <c r="G729" t="b">
        <v>0</v>
      </c>
      <c r="H729">
        <f>HYPERLINK("https://athena.uww.org/media/cache/person_default/uploads/images/612dccae299c6779020870.jpg")</f>
        <v>0</v>
      </c>
      <c r="I729">
        <f>HYPERLINK("https://athena.uww.org/p/78143")</f>
        <v>0</v>
      </c>
    </row>
    <row r="730" spans="1:9">
      <c r="A730">
        <v>670</v>
      </c>
      <c r="B730" t="s">
        <v>737</v>
      </c>
      <c r="C730" t="s">
        <v>1339</v>
      </c>
      <c r="D730" t="s">
        <v>1389</v>
      </c>
      <c r="E730" t="s">
        <v>1442</v>
      </c>
      <c r="F730" t="s">
        <v>2148</v>
      </c>
      <c r="G730" t="b">
        <v>1</v>
      </c>
      <c r="H730">
        <f>HYPERLINK("https://athena.uww.org/media/cache/person_default/uploads/images/crop/64708092051fe855912483.png")</f>
        <v>0</v>
      </c>
      <c r="I730">
        <f>HYPERLINK("https://athena.uww.org/p/670")</f>
        <v>0</v>
      </c>
    </row>
    <row r="731" spans="1:9">
      <c r="A731">
        <v>4562</v>
      </c>
      <c r="B731" t="s">
        <v>738</v>
      </c>
      <c r="C731" t="s">
        <v>1339</v>
      </c>
      <c r="D731" t="s">
        <v>1389</v>
      </c>
      <c r="E731" t="s">
        <v>1442</v>
      </c>
      <c r="F731" t="s">
        <v>2149</v>
      </c>
      <c r="G731" t="b">
        <v>1</v>
      </c>
      <c r="H731">
        <f>HYPERLINK("https://athena.uww.org/media/cache/person_default/uploads/images/referee-4562.jpg")</f>
        <v>0</v>
      </c>
      <c r="I731">
        <f>HYPERLINK("https://athena.uww.org/p/4562")</f>
        <v>0</v>
      </c>
    </row>
    <row r="732" spans="1:9">
      <c r="A732">
        <v>5197</v>
      </c>
      <c r="B732" t="s">
        <v>739</v>
      </c>
      <c r="C732" t="s">
        <v>1339</v>
      </c>
      <c r="D732" t="s">
        <v>1390</v>
      </c>
      <c r="E732" t="s">
        <v>1440</v>
      </c>
      <c r="F732" t="s">
        <v>2150</v>
      </c>
      <c r="G732" t="b">
        <v>1</v>
      </c>
      <c r="H732">
        <f>HYPERLINK("https://athena.uww.org/media/cache/person_default/uploads/images/crop/629dc14f45948960676252.png")</f>
        <v>0</v>
      </c>
      <c r="I732">
        <f>HYPERLINK("https://athena.uww.org/p/5197")</f>
        <v>0</v>
      </c>
    </row>
    <row r="733" spans="1:9">
      <c r="A733">
        <v>5405</v>
      </c>
      <c r="B733" t="s">
        <v>740</v>
      </c>
      <c r="C733" t="s">
        <v>1339</v>
      </c>
      <c r="D733" t="s">
        <v>1390</v>
      </c>
      <c r="E733" t="s">
        <v>1440</v>
      </c>
      <c r="F733" t="s">
        <v>2151</v>
      </c>
      <c r="G733" t="b">
        <v>1</v>
      </c>
      <c r="H733">
        <f>HYPERLINK("https://athena.uww.org/media/cache/person_default/uploads/images/crop/65488b2d364fc925246713.png")</f>
        <v>0</v>
      </c>
      <c r="I733">
        <f>HYPERLINK("https://athena.uww.org/p/5405")</f>
        <v>0</v>
      </c>
    </row>
    <row r="734" spans="1:9">
      <c r="A734">
        <v>75405</v>
      </c>
      <c r="B734" t="s">
        <v>741</v>
      </c>
      <c r="C734" t="s">
        <v>1339</v>
      </c>
      <c r="D734" t="s">
        <v>1390</v>
      </c>
      <c r="E734" t="s">
        <v>1441</v>
      </c>
      <c r="F734" t="s">
        <v>2152</v>
      </c>
      <c r="G734" t="b">
        <v>1</v>
      </c>
      <c r="H734">
        <f>HYPERLINK("https://athena.uww.org/media/cache/person_default/uploads/images/crop/6094d8b237ec7217373013.png")</f>
        <v>0</v>
      </c>
      <c r="I734">
        <f>HYPERLINK("https://athena.uww.org/p/75405")</f>
        <v>0</v>
      </c>
    </row>
    <row r="735" spans="1:9">
      <c r="A735">
        <v>5578</v>
      </c>
      <c r="B735" t="s">
        <v>742</v>
      </c>
      <c r="C735" t="s">
        <v>1339</v>
      </c>
      <c r="D735" t="s">
        <v>1390</v>
      </c>
      <c r="E735" t="s">
        <v>1441</v>
      </c>
      <c r="F735" t="s">
        <v>2153</v>
      </c>
      <c r="G735" t="b">
        <v>1</v>
      </c>
      <c r="H735">
        <f>HYPERLINK("https://athena.uww.org/media/cache/person_default/uploads/images/56d6af89775e1.jpg")</f>
        <v>0</v>
      </c>
      <c r="I735">
        <f>HYPERLINK("https://athena.uww.org/p/5578")</f>
        <v>0</v>
      </c>
    </row>
    <row r="736" spans="1:9">
      <c r="A736">
        <v>4752</v>
      </c>
      <c r="B736" t="s">
        <v>743</v>
      </c>
      <c r="C736" t="s">
        <v>1339</v>
      </c>
      <c r="D736" t="s">
        <v>1390</v>
      </c>
      <c r="E736" t="s">
        <v>1439</v>
      </c>
      <c r="F736" t="s">
        <v>2154</v>
      </c>
      <c r="G736" t="b">
        <v>1</v>
      </c>
      <c r="H736">
        <f>HYPERLINK("https://athena.uww.org/media/cache/person_default/uploads/images/56d6afc73100a.jpg")</f>
        <v>0</v>
      </c>
      <c r="I736">
        <f>HYPERLINK("https://athena.uww.org/p/4752")</f>
        <v>0</v>
      </c>
    </row>
    <row r="737" spans="1:9">
      <c r="A737">
        <v>59181</v>
      </c>
      <c r="B737" t="s">
        <v>744</v>
      </c>
      <c r="C737" t="s">
        <v>1339</v>
      </c>
      <c r="D737" t="s">
        <v>1390</v>
      </c>
      <c r="E737" t="s">
        <v>1439</v>
      </c>
      <c r="F737" t="s">
        <v>2155</v>
      </c>
      <c r="G737" t="b">
        <v>1</v>
      </c>
      <c r="H737">
        <f>HYPERLINK("https://athena.uww.org/media/cache/person_default/uploads/images/crop/5bcdbe84bc40f.png")</f>
        <v>0</v>
      </c>
      <c r="I737">
        <f>HYPERLINK("https://athena.uww.org/p/59181")</f>
        <v>0</v>
      </c>
    </row>
    <row r="738" spans="1:9">
      <c r="A738">
        <v>5404</v>
      </c>
      <c r="B738" t="s">
        <v>745</v>
      </c>
      <c r="C738" t="s">
        <v>1339</v>
      </c>
      <c r="D738" t="s">
        <v>1390</v>
      </c>
      <c r="E738" t="s">
        <v>1439</v>
      </c>
      <c r="F738" t="s">
        <v>2156</v>
      </c>
      <c r="G738" t="b">
        <v>1</v>
      </c>
      <c r="H738">
        <f>HYPERLINK("https://athena.uww.org/media/cache/person_default/uploads/images/referee-5404.jpg")</f>
        <v>0</v>
      </c>
      <c r="I738">
        <f>HYPERLINK("https://athena.uww.org/p/5404")</f>
        <v>0</v>
      </c>
    </row>
    <row r="739" spans="1:9">
      <c r="A739">
        <v>5403</v>
      </c>
      <c r="B739" t="s">
        <v>746</v>
      </c>
      <c r="C739" t="s">
        <v>1339</v>
      </c>
      <c r="D739" t="s">
        <v>1390</v>
      </c>
      <c r="E739" t="s">
        <v>1439</v>
      </c>
      <c r="F739" t="s">
        <v>2157</v>
      </c>
      <c r="G739" t="b">
        <v>1</v>
      </c>
      <c r="H739">
        <f>HYPERLINK("https://athena.uww.org/media/cache/person_default/uploads/images/referee-5403.jpg")</f>
        <v>0</v>
      </c>
      <c r="I739">
        <f>HYPERLINK("https://athena.uww.org/p/5403")</f>
        <v>0</v>
      </c>
    </row>
    <row r="740" spans="1:9">
      <c r="A740">
        <v>7919</v>
      </c>
      <c r="B740" t="s">
        <v>747</v>
      </c>
      <c r="C740" t="s">
        <v>1339</v>
      </c>
      <c r="D740" t="s">
        <v>1390</v>
      </c>
      <c r="E740" t="s">
        <v>1439</v>
      </c>
      <c r="F740" t="s">
        <v>2158</v>
      </c>
      <c r="G740" t="b">
        <v>1</v>
      </c>
      <c r="H740">
        <f>HYPERLINK("https://athena.uww.org/media/cache/person_default/uploads/images/crop/60952ef05ab68593202236.png")</f>
        <v>0</v>
      </c>
      <c r="I740">
        <f>HYPERLINK("https://athena.uww.org/p/7919")</f>
        <v>0</v>
      </c>
    </row>
    <row r="741" spans="1:9">
      <c r="A741">
        <v>75399</v>
      </c>
      <c r="B741" t="s">
        <v>748</v>
      </c>
      <c r="C741" t="s">
        <v>1339</v>
      </c>
      <c r="D741" t="s">
        <v>1390</v>
      </c>
      <c r="E741" t="s">
        <v>1439</v>
      </c>
      <c r="F741" t="s">
        <v>2159</v>
      </c>
      <c r="G741" t="b">
        <v>1</v>
      </c>
      <c r="H741">
        <f>HYPERLINK("https://athena.uww.org/media/cache/person_default/uploads/images/crop/6094d83d5f65b152338643.png")</f>
        <v>0</v>
      </c>
      <c r="I741">
        <f>HYPERLINK("https://athena.uww.org/p/75399")</f>
        <v>0</v>
      </c>
    </row>
    <row r="742" spans="1:9">
      <c r="A742">
        <v>112155</v>
      </c>
      <c r="B742" t="s">
        <v>749</v>
      </c>
      <c r="C742" t="s">
        <v>1339</v>
      </c>
      <c r="D742" t="s">
        <v>1390</v>
      </c>
      <c r="E742" t="s">
        <v>1442</v>
      </c>
      <c r="F742" t="s">
        <v>2160</v>
      </c>
      <c r="G742" t="b">
        <v>1</v>
      </c>
      <c r="H742">
        <f>HYPERLINK("https://athena.uww.org/media/cache/person_default/uploads/images/68de3b9776592038046924.jfif")</f>
        <v>0</v>
      </c>
      <c r="I742">
        <f>HYPERLINK("https://athena.uww.org/p/112155")</f>
        <v>0</v>
      </c>
    </row>
    <row r="743" spans="1:9">
      <c r="A743">
        <v>169</v>
      </c>
      <c r="B743" t="s">
        <v>750</v>
      </c>
      <c r="C743" t="s">
        <v>1339</v>
      </c>
      <c r="D743" t="s">
        <v>1390</v>
      </c>
      <c r="E743" t="s">
        <v>1442</v>
      </c>
      <c r="F743" t="s">
        <v>2161</v>
      </c>
      <c r="G743" t="b">
        <v>1</v>
      </c>
      <c r="H743">
        <f>HYPERLINK("https://athena.uww.org/media/cache/person_default/uploads/images/crop/6711280aaf244357741865.png")</f>
        <v>0</v>
      </c>
      <c r="I743">
        <f>HYPERLINK("https://athena.uww.org/p/169")</f>
        <v>0</v>
      </c>
    </row>
    <row r="744" spans="1:9">
      <c r="A744">
        <v>59183</v>
      </c>
      <c r="B744" t="s">
        <v>751</v>
      </c>
      <c r="C744" t="s">
        <v>1339</v>
      </c>
      <c r="D744" t="s">
        <v>1390</v>
      </c>
      <c r="E744" t="s">
        <v>1442</v>
      </c>
      <c r="F744" t="s">
        <v>2162</v>
      </c>
      <c r="G744" t="b">
        <v>1</v>
      </c>
      <c r="H744">
        <f>HYPERLINK("https://athena.uww.org/media/cache/person_default/uploads/images/crop/5b32c0555c6fb.png")</f>
        <v>0</v>
      </c>
      <c r="I744">
        <f>HYPERLINK("https://athena.uww.org/p/59183")</f>
        <v>0</v>
      </c>
    </row>
    <row r="745" spans="1:9">
      <c r="A745">
        <v>82833</v>
      </c>
      <c r="B745" t="s">
        <v>752</v>
      </c>
      <c r="C745" t="s">
        <v>1339</v>
      </c>
      <c r="D745" t="s">
        <v>1391</v>
      </c>
      <c r="E745" t="s">
        <v>1442</v>
      </c>
      <c r="F745" t="s">
        <v>2163</v>
      </c>
      <c r="G745" t="b">
        <v>0</v>
      </c>
      <c r="H745">
        <f>HYPERLINK("https://athena.uww.org/media/cache/person_default/uploads/images/627b591c9b480272986837.jpg")</f>
        <v>0</v>
      </c>
      <c r="I745">
        <f>HYPERLINK("https://athena.uww.org/p/82833")</f>
        <v>0</v>
      </c>
    </row>
    <row r="746" spans="1:9">
      <c r="A746">
        <v>25500</v>
      </c>
      <c r="B746" t="s">
        <v>753</v>
      </c>
      <c r="C746" t="s">
        <v>1339</v>
      </c>
      <c r="D746" t="s">
        <v>1392</v>
      </c>
      <c r="E746" t="s">
        <v>1441</v>
      </c>
      <c r="F746" t="s">
        <v>2164</v>
      </c>
      <c r="G746" t="b">
        <v>1</v>
      </c>
      <c r="H746">
        <f>HYPERLINK("https://athena.uww.org/media/cache/person_default/uploads/images/crop/62946fa59e228366201956.png")</f>
        <v>0</v>
      </c>
      <c r="I746">
        <f>HYPERLINK("https://athena.uww.org/p/25500")</f>
        <v>0</v>
      </c>
    </row>
    <row r="747" spans="1:9">
      <c r="A747">
        <v>4649</v>
      </c>
      <c r="B747" t="s">
        <v>754</v>
      </c>
      <c r="C747" t="s">
        <v>1339</v>
      </c>
      <c r="D747" t="s">
        <v>1392</v>
      </c>
      <c r="E747" t="s">
        <v>1441</v>
      </c>
      <c r="F747" t="s">
        <v>2165</v>
      </c>
      <c r="G747" t="b">
        <v>1</v>
      </c>
      <c r="H747">
        <f>HYPERLINK("https://athena.uww.org/media/cache/person_default/uploads/images/crop/5cab2be49a45b651685515.png")</f>
        <v>0</v>
      </c>
      <c r="I747">
        <f>HYPERLINK("https://athena.uww.org/p/4649")</f>
        <v>0</v>
      </c>
    </row>
    <row r="748" spans="1:9">
      <c r="A748">
        <v>35293</v>
      </c>
      <c r="B748" t="s">
        <v>755</v>
      </c>
      <c r="C748" t="s">
        <v>1339</v>
      </c>
      <c r="D748" t="s">
        <v>1392</v>
      </c>
      <c r="E748" t="s">
        <v>1439</v>
      </c>
      <c r="F748" t="s">
        <v>2166</v>
      </c>
      <c r="G748" t="b">
        <v>1</v>
      </c>
      <c r="H748">
        <f>HYPERLINK("https://athena.uww.org/media/cache/person_default/uploads/images/crop/645a38e7178a7131466975.png")</f>
        <v>0</v>
      </c>
      <c r="I748">
        <f>HYPERLINK("https://athena.uww.org/p/35293")</f>
        <v>0</v>
      </c>
    </row>
    <row r="749" spans="1:9">
      <c r="A749">
        <v>15034</v>
      </c>
      <c r="B749" t="s">
        <v>756</v>
      </c>
      <c r="C749" t="s">
        <v>1339</v>
      </c>
      <c r="D749" t="s">
        <v>1392</v>
      </c>
      <c r="E749" t="s">
        <v>1439</v>
      </c>
      <c r="F749" t="s">
        <v>2167</v>
      </c>
      <c r="G749" t="b">
        <v>1</v>
      </c>
      <c r="H749">
        <f>HYPERLINK("https://athena.uww.org/media/cache/person_default/uploads/images/crop/5c549545eaa5b145725566.png")</f>
        <v>0</v>
      </c>
      <c r="I749">
        <f>HYPERLINK("https://athena.uww.org/p/15034")</f>
        <v>0</v>
      </c>
    </row>
    <row r="750" spans="1:9">
      <c r="A750">
        <v>5700</v>
      </c>
      <c r="B750" t="s">
        <v>757</v>
      </c>
      <c r="C750" t="s">
        <v>1339</v>
      </c>
      <c r="D750" t="s">
        <v>1392</v>
      </c>
      <c r="E750" t="s">
        <v>1439</v>
      </c>
      <c r="F750" t="s">
        <v>2168</v>
      </c>
      <c r="G750" t="b">
        <v>1</v>
      </c>
      <c r="H750">
        <f>HYPERLINK("https://athena.uww.org/media/cache/person_default/uploads/images/1076100783001.jpg")</f>
        <v>0</v>
      </c>
      <c r="I750">
        <f>HYPERLINK("https://athena.uww.org/p/5700")</f>
        <v>0</v>
      </c>
    </row>
    <row r="751" spans="1:9">
      <c r="A751">
        <v>34217</v>
      </c>
      <c r="B751" t="s">
        <v>758</v>
      </c>
      <c r="C751" t="s">
        <v>1339</v>
      </c>
      <c r="D751" t="s">
        <v>1392</v>
      </c>
      <c r="E751" t="s">
        <v>1442</v>
      </c>
      <c r="F751" t="s">
        <v>2169</v>
      </c>
      <c r="G751" t="b">
        <v>1</v>
      </c>
      <c r="H751">
        <f>HYPERLINK("https://athena.uww.org/media/cache/person_default/uploads/images/crop/66d80119339a3312556280.png")</f>
        <v>0</v>
      </c>
      <c r="I751">
        <f>HYPERLINK("https://athena.uww.org/p/34217")</f>
        <v>0</v>
      </c>
    </row>
    <row r="752" spans="1:9">
      <c r="A752">
        <v>5559</v>
      </c>
      <c r="B752" t="s">
        <v>759</v>
      </c>
      <c r="C752" t="s">
        <v>1339</v>
      </c>
      <c r="D752" t="s">
        <v>1393</v>
      </c>
      <c r="E752" t="s">
        <v>1441</v>
      </c>
      <c r="F752" t="s">
        <v>2170</v>
      </c>
      <c r="G752" t="b">
        <v>1</v>
      </c>
      <c r="H752">
        <f>HYPERLINK("https://athena.uww.org/media/cache/person_default/uploads/images/referee-5559.jpg")</f>
        <v>0</v>
      </c>
      <c r="I752">
        <f>HYPERLINK("https://athena.uww.org/p/5559")</f>
        <v>0</v>
      </c>
    </row>
    <row r="753" spans="1:9">
      <c r="A753">
        <v>51141</v>
      </c>
      <c r="B753" t="s">
        <v>760</v>
      </c>
      <c r="C753" t="s">
        <v>1339</v>
      </c>
      <c r="D753" t="s">
        <v>1393</v>
      </c>
      <c r="E753" t="s">
        <v>1441</v>
      </c>
      <c r="F753" t="s">
        <v>2171</v>
      </c>
      <c r="G753" t="b">
        <v>1</v>
      </c>
      <c r="H753">
        <f>HYPERLINK("https://athena.uww.org/media/cache/person_default/uploads/images/crop/5d14525323594911923926.png")</f>
        <v>0</v>
      </c>
      <c r="I753">
        <f>HYPERLINK("https://athena.uww.org/p/51141")</f>
        <v>0</v>
      </c>
    </row>
    <row r="754" spans="1:9">
      <c r="A754">
        <v>91480</v>
      </c>
      <c r="B754" t="s">
        <v>761</v>
      </c>
      <c r="C754" t="s">
        <v>1339</v>
      </c>
      <c r="D754" t="s">
        <v>1393</v>
      </c>
      <c r="E754" t="s">
        <v>1439</v>
      </c>
      <c r="F754" t="s">
        <v>2172</v>
      </c>
      <c r="G754" t="b">
        <v>1</v>
      </c>
      <c r="H754">
        <f>HYPERLINK("https://athena.uww.org/media/cache/person_default/uploads/images/crop/646c76f88c4c9215233656.png")</f>
        <v>0</v>
      </c>
      <c r="I754">
        <f>HYPERLINK("https://athena.uww.org/p/91480")</f>
        <v>0</v>
      </c>
    </row>
    <row r="755" spans="1:9">
      <c r="A755">
        <v>75783</v>
      </c>
      <c r="B755" t="s">
        <v>762</v>
      </c>
      <c r="C755" t="s">
        <v>1339</v>
      </c>
      <c r="D755" t="s">
        <v>1393</v>
      </c>
      <c r="E755" t="s">
        <v>1439</v>
      </c>
      <c r="F755" t="s">
        <v>2173</v>
      </c>
      <c r="G755" t="b">
        <v>1</v>
      </c>
      <c r="H755">
        <f>HYPERLINK("https://athena.uww.org/media/cache/person_default/uploads/images/crop/609bde395fae8952253759.png")</f>
        <v>0</v>
      </c>
      <c r="I755">
        <f>HYPERLINK("https://athena.uww.org/p/75783")</f>
        <v>0</v>
      </c>
    </row>
    <row r="756" spans="1:9">
      <c r="A756">
        <v>58925</v>
      </c>
      <c r="B756" t="s">
        <v>763</v>
      </c>
      <c r="C756" t="s">
        <v>1339</v>
      </c>
      <c r="D756" t="s">
        <v>1393</v>
      </c>
      <c r="E756" t="s">
        <v>1442</v>
      </c>
      <c r="F756" t="s">
        <v>2174</v>
      </c>
      <c r="G756" t="b">
        <v>1</v>
      </c>
      <c r="H756">
        <f>HYPERLINK("https://athena.uww.org/media/cache/person_default/uploads/images/crop/5b1e0b9d62ea6.png")</f>
        <v>0</v>
      </c>
      <c r="I756">
        <f>HYPERLINK("https://athena.uww.org/p/58925")</f>
        <v>0</v>
      </c>
    </row>
    <row r="757" spans="1:9">
      <c r="A757">
        <v>59681</v>
      </c>
      <c r="B757" t="s">
        <v>764</v>
      </c>
      <c r="C757" t="s">
        <v>1340</v>
      </c>
      <c r="D757" t="s">
        <v>1394</v>
      </c>
      <c r="E757" t="s">
        <v>1440</v>
      </c>
      <c r="F757" t="s">
        <v>2175</v>
      </c>
      <c r="G757" t="b">
        <v>1</v>
      </c>
      <c r="H757">
        <f>HYPERLINK("https://athena.uww.org/media/cache/person_default/uploads/images/crop/6479ce7042c6c042421589.png")</f>
        <v>0</v>
      </c>
      <c r="I757">
        <f>HYPERLINK("https://athena.uww.org/p/59681")</f>
        <v>0</v>
      </c>
    </row>
    <row r="758" spans="1:9">
      <c r="A758">
        <v>5196</v>
      </c>
      <c r="B758" t="s">
        <v>765</v>
      </c>
      <c r="C758" t="s">
        <v>1339</v>
      </c>
      <c r="D758" t="s">
        <v>1394</v>
      </c>
      <c r="E758" t="s">
        <v>1440</v>
      </c>
      <c r="F758" t="s">
        <v>2176</v>
      </c>
      <c r="G758" t="b">
        <v>1</v>
      </c>
      <c r="H758">
        <f>HYPERLINK("https://athena.uww.org/media/cache/person_default/uploads/images/crop/63cba30e49470107125870.png")</f>
        <v>0</v>
      </c>
      <c r="I758">
        <f>HYPERLINK("https://athena.uww.org/p/5196")</f>
        <v>0</v>
      </c>
    </row>
    <row r="759" spans="1:9">
      <c r="A759">
        <v>47773</v>
      </c>
      <c r="B759" t="s">
        <v>766</v>
      </c>
      <c r="C759" t="s">
        <v>1339</v>
      </c>
      <c r="D759" t="s">
        <v>1394</v>
      </c>
      <c r="E759" t="s">
        <v>1441</v>
      </c>
      <c r="F759" t="s">
        <v>2177</v>
      </c>
      <c r="G759" t="b">
        <v>1</v>
      </c>
      <c r="H759">
        <f>HYPERLINK("https://athena.uww.org/media/cache/person_default/uploads/images/crop/59720104a2495.png")</f>
        <v>0</v>
      </c>
      <c r="I759">
        <f>HYPERLINK("https://athena.uww.org/p/47773")</f>
        <v>0</v>
      </c>
    </row>
    <row r="760" spans="1:9">
      <c r="A760">
        <v>3979</v>
      </c>
      <c r="B760" t="s">
        <v>767</v>
      </c>
      <c r="C760" t="s">
        <v>1339</v>
      </c>
      <c r="D760" t="s">
        <v>1394</v>
      </c>
      <c r="E760" t="s">
        <v>1439</v>
      </c>
      <c r="F760" t="s">
        <v>2178</v>
      </c>
      <c r="G760" t="b">
        <v>1</v>
      </c>
      <c r="H760">
        <f>HYPERLINK("https://athena.uww.org/media/cache/person_default/uploads/images/referee-3979.jpg")</f>
        <v>0</v>
      </c>
      <c r="I760">
        <f>HYPERLINK("https://athena.uww.org/p/3979")</f>
        <v>0</v>
      </c>
    </row>
    <row r="761" spans="1:9">
      <c r="A761">
        <v>5195</v>
      </c>
      <c r="B761" t="s">
        <v>768</v>
      </c>
      <c r="C761" t="s">
        <v>1339</v>
      </c>
      <c r="D761" t="s">
        <v>1394</v>
      </c>
      <c r="E761" t="s">
        <v>1439</v>
      </c>
      <c r="F761" t="s">
        <v>2179</v>
      </c>
      <c r="G761" t="b">
        <v>1</v>
      </c>
      <c r="H761">
        <f>HYPERLINK("https://athena.uww.org/media/cache/person_default/uploads/images/referee-5195.jpg")</f>
        <v>0</v>
      </c>
      <c r="I761">
        <f>HYPERLINK("https://athena.uww.org/p/5195")</f>
        <v>0</v>
      </c>
    </row>
    <row r="762" spans="1:9">
      <c r="A762">
        <v>105361</v>
      </c>
      <c r="B762" t="s">
        <v>769</v>
      </c>
      <c r="C762" t="s">
        <v>1339</v>
      </c>
      <c r="D762" t="s">
        <v>1394</v>
      </c>
      <c r="E762" t="s">
        <v>1442</v>
      </c>
      <c r="F762" t="s">
        <v>2101</v>
      </c>
      <c r="G762" t="b">
        <v>1</v>
      </c>
      <c r="H762">
        <f>HYPERLINK("https://athena.uww.org/media/cache/person_default/uploads/images/crop/680752a8001f4918567156.png")</f>
        <v>0</v>
      </c>
      <c r="I762">
        <f>HYPERLINK("https://athena.uww.org/p/105361")</f>
        <v>0</v>
      </c>
    </row>
    <row r="763" spans="1:9">
      <c r="A763">
        <v>3982</v>
      </c>
      <c r="B763" t="s">
        <v>770</v>
      </c>
      <c r="C763" t="s">
        <v>1339</v>
      </c>
      <c r="D763" t="s">
        <v>1394</v>
      </c>
      <c r="E763" t="s">
        <v>1442</v>
      </c>
      <c r="F763" t="s">
        <v>2180</v>
      </c>
      <c r="G763" t="b">
        <v>0</v>
      </c>
      <c r="H763">
        <f>HYPERLINK("https://athena.uww.org/media/cache/person_default/uploads/images/55ba30a1ce3d7.jpg")</f>
        <v>0</v>
      </c>
      <c r="I763">
        <f>HYPERLINK("https://athena.uww.org/p/3982")</f>
        <v>0</v>
      </c>
    </row>
    <row r="764" spans="1:9">
      <c r="A764">
        <v>106044</v>
      </c>
      <c r="B764" t="s">
        <v>771</v>
      </c>
      <c r="C764" t="s">
        <v>1339</v>
      </c>
      <c r="D764" t="s">
        <v>1394</v>
      </c>
      <c r="E764" t="s">
        <v>1442</v>
      </c>
      <c r="F764" t="s">
        <v>1769</v>
      </c>
      <c r="G764" t="b">
        <v>1</v>
      </c>
      <c r="H764">
        <f>HYPERLINK("https://athena.uww.org/media/cache/person_default/uploads/images/crop/6808813f118db400342959.png")</f>
        <v>0</v>
      </c>
      <c r="I764">
        <f>HYPERLINK("https://athena.uww.org/p/106044")</f>
        <v>0</v>
      </c>
    </row>
    <row r="765" spans="1:9">
      <c r="A765">
        <v>82627</v>
      </c>
      <c r="B765" t="s">
        <v>772</v>
      </c>
      <c r="C765" t="s">
        <v>1339</v>
      </c>
      <c r="D765" t="s">
        <v>1394</v>
      </c>
      <c r="E765" t="s">
        <v>1442</v>
      </c>
      <c r="F765" t="s">
        <v>2181</v>
      </c>
      <c r="G765" t="b">
        <v>1</v>
      </c>
      <c r="H765">
        <f>HYPERLINK("https://athena.uww.org/media/cache/person_default/uploads/images/crop/67ea35742c0c1713175730.png")</f>
        <v>0</v>
      </c>
      <c r="I765">
        <f>HYPERLINK("https://athena.uww.org/p/82627")</f>
        <v>0</v>
      </c>
    </row>
    <row r="766" spans="1:9">
      <c r="A766">
        <v>82615</v>
      </c>
      <c r="B766" t="s">
        <v>773</v>
      </c>
      <c r="C766" t="s">
        <v>1339</v>
      </c>
      <c r="D766" t="s">
        <v>1394</v>
      </c>
      <c r="E766" t="s">
        <v>1442</v>
      </c>
      <c r="F766" t="s">
        <v>2182</v>
      </c>
      <c r="G766" t="b">
        <v>1</v>
      </c>
      <c r="H766">
        <f>HYPERLINK("https://athena.uww.org/media/cache/person_default/uploads/images/crop/627a3078e415d550614067.png")</f>
        <v>0</v>
      </c>
      <c r="I766">
        <f>HYPERLINK("https://athena.uww.org/p/82615")</f>
        <v>0</v>
      </c>
    </row>
    <row r="767" spans="1:9">
      <c r="A767">
        <v>102703</v>
      </c>
      <c r="B767" t="s">
        <v>774</v>
      </c>
      <c r="C767" t="s">
        <v>1339</v>
      </c>
      <c r="D767" t="s">
        <v>1395</v>
      </c>
      <c r="E767" t="s">
        <v>1442</v>
      </c>
      <c r="F767" t="s">
        <v>2183</v>
      </c>
      <c r="G767" t="b">
        <v>1</v>
      </c>
      <c r="H767">
        <f>HYPERLINK("https://athena.uww.org/media/cache/person_default/uploads/images/crop/66b3120a99161716178850.png")</f>
        <v>0</v>
      </c>
      <c r="I767">
        <f>HYPERLINK("https://athena.uww.org/p/102703")</f>
        <v>0</v>
      </c>
    </row>
    <row r="768" spans="1:9">
      <c r="A768">
        <v>4153</v>
      </c>
      <c r="B768" t="s">
        <v>775</v>
      </c>
      <c r="C768" t="s">
        <v>1339</v>
      </c>
      <c r="D768" t="s">
        <v>1396</v>
      </c>
      <c r="E768" t="s">
        <v>1440</v>
      </c>
      <c r="F768" t="s">
        <v>2184</v>
      </c>
      <c r="G768" t="b">
        <v>1</v>
      </c>
      <c r="H768">
        <f>HYPERLINK("https://athena.uww.org/media/cache/person_default/uploads/images/referee-4153.JPG")</f>
        <v>0</v>
      </c>
      <c r="I768">
        <f>HYPERLINK("https://athena.uww.org/p/4153")</f>
        <v>0</v>
      </c>
    </row>
    <row r="769" spans="1:9">
      <c r="A769">
        <v>2158</v>
      </c>
      <c r="B769" t="s">
        <v>776</v>
      </c>
      <c r="C769" t="s">
        <v>1339</v>
      </c>
      <c r="D769" t="s">
        <v>1396</v>
      </c>
      <c r="E769" t="s">
        <v>1441</v>
      </c>
      <c r="F769" t="s">
        <v>2185</v>
      </c>
      <c r="G769" t="b">
        <v>1</v>
      </c>
      <c r="H769">
        <f>HYPERLINK("https://athena.uww.org/media/cache/person_default/uploads/images/referee-5213.jpg")</f>
        <v>0</v>
      </c>
      <c r="I769">
        <f>HYPERLINK("https://athena.uww.org/p/2158")</f>
        <v>0</v>
      </c>
    </row>
    <row r="770" spans="1:9">
      <c r="A770">
        <v>98272</v>
      </c>
      <c r="B770" t="s">
        <v>777</v>
      </c>
      <c r="C770" t="s">
        <v>1339</v>
      </c>
      <c r="D770" t="s">
        <v>1396</v>
      </c>
      <c r="E770" t="s">
        <v>1439</v>
      </c>
      <c r="F770" t="s">
        <v>2186</v>
      </c>
      <c r="G770" t="b">
        <v>1</v>
      </c>
      <c r="H770">
        <f>HYPERLINK("https://athena.uww.org/media/cache/person_default/uploads/images/crop/6601a30057185415740838.png")</f>
        <v>0</v>
      </c>
      <c r="I770">
        <f>HYPERLINK("https://athena.uww.org/p/98272")</f>
        <v>0</v>
      </c>
    </row>
    <row r="771" spans="1:9">
      <c r="A771">
        <v>2182</v>
      </c>
      <c r="B771" t="s">
        <v>778</v>
      </c>
      <c r="C771" t="s">
        <v>1339</v>
      </c>
      <c r="D771" t="s">
        <v>1396</v>
      </c>
      <c r="E771" t="s">
        <v>1439</v>
      </c>
      <c r="F771" t="s">
        <v>2187</v>
      </c>
      <c r="G771" t="b">
        <v>1</v>
      </c>
      <c r="H771">
        <f>HYPERLINK("https://athena.uww.org/media/cache/person_default/uploads/images/1089200285001.jpg")</f>
        <v>0</v>
      </c>
      <c r="I771">
        <f>HYPERLINK("https://athena.uww.org/p/2182")</f>
        <v>0</v>
      </c>
    </row>
    <row r="772" spans="1:9">
      <c r="A772">
        <v>98274</v>
      </c>
      <c r="B772" t="s">
        <v>779</v>
      </c>
      <c r="C772" t="s">
        <v>1339</v>
      </c>
      <c r="D772" t="s">
        <v>1396</v>
      </c>
      <c r="E772" t="s">
        <v>1439</v>
      </c>
      <c r="F772" t="s">
        <v>2188</v>
      </c>
      <c r="G772" t="b">
        <v>1</v>
      </c>
      <c r="H772">
        <f>HYPERLINK("https://athena.uww.org/media/cache/person_default/uploads/images/crop/660b104b48015964511682.png")</f>
        <v>0</v>
      </c>
      <c r="I772">
        <f>HYPERLINK("https://athena.uww.org/p/98274")</f>
        <v>0</v>
      </c>
    </row>
    <row r="773" spans="1:9">
      <c r="A773">
        <v>29052</v>
      </c>
      <c r="B773" t="s">
        <v>780</v>
      </c>
      <c r="C773" t="s">
        <v>1339</v>
      </c>
      <c r="D773" t="s">
        <v>1396</v>
      </c>
      <c r="E773" t="s">
        <v>1442</v>
      </c>
      <c r="F773" t="s">
        <v>2189</v>
      </c>
      <c r="G773" t="b">
        <v>1</v>
      </c>
      <c r="H773">
        <f>HYPERLINK("https://athena.uww.org/media/cache/person_default/uploads/images/5537583a89960.jpg")</f>
        <v>0</v>
      </c>
      <c r="I773">
        <f>HYPERLINK("https://athena.uww.org/p/29052")</f>
        <v>0</v>
      </c>
    </row>
    <row r="774" spans="1:9">
      <c r="A774">
        <v>67101</v>
      </c>
      <c r="B774" t="s">
        <v>781</v>
      </c>
      <c r="C774" t="s">
        <v>1339</v>
      </c>
      <c r="D774" t="s">
        <v>1396</v>
      </c>
      <c r="E774" t="s">
        <v>1442</v>
      </c>
      <c r="F774" t="s">
        <v>2190</v>
      </c>
      <c r="G774" t="b">
        <v>1</v>
      </c>
      <c r="H774">
        <f>HYPERLINK("https://athena.uww.org/media/cache/person_default/uploads/images/crop/5cf624931fa6e625269399.png")</f>
        <v>0</v>
      </c>
      <c r="I774">
        <f>HYPERLINK("https://athena.uww.org/p/67101")</f>
        <v>0</v>
      </c>
    </row>
    <row r="775" spans="1:9">
      <c r="A775">
        <v>98203</v>
      </c>
      <c r="B775" t="s">
        <v>782</v>
      </c>
      <c r="C775" t="s">
        <v>1339</v>
      </c>
      <c r="D775" t="s">
        <v>1396</v>
      </c>
      <c r="E775" t="s">
        <v>1442</v>
      </c>
      <c r="F775" t="s">
        <v>2191</v>
      </c>
      <c r="G775" t="b">
        <v>1</v>
      </c>
      <c r="H775">
        <f>HYPERLINK("https://athena.uww.org/media/cache/person_default/uploads/images/crop/6602cd64e09bc309428076.png")</f>
        <v>0</v>
      </c>
      <c r="I775">
        <f>HYPERLINK("https://athena.uww.org/p/98203")</f>
        <v>0</v>
      </c>
    </row>
    <row r="776" spans="1:9">
      <c r="A776">
        <v>5355</v>
      </c>
      <c r="B776" t="s">
        <v>783</v>
      </c>
      <c r="C776" t="s">
        <v>1339</v>
      </c>
      <c r="D776" t="s">
        <v>1396</v>
      </c>
      <c r="E776" t="s">
        <v>1442</v>
      </c>
      <c r="F776" t="s">
        <v>2192</v>
      </c>
      <c r="G776" t="b">
        <v>0</v>
      </c>
      <c r="H776">
        <f>HYPERLINK("https://athena.uww.org/media/cache/person_default/uploads/images/referee-5355.jpg")</f>
        <v>0</v>
      </c>
      <c r="I776">
        <f>HYPERLINK("https://athena.uww.org/p/5355")</f>
        <v>0</v>
      </c>
    </row>
    <row r="777" spans="1:9">
      <c r="A777">
        <v>37712</v>
      </c>
      <c r="B777" t="s">
        <v>784</v>
      </c>
      <c r="C777" t="s">
        <v>1339</v>
      </c>
      <c r="D777" t="s">
        <v>1396</v>
      </c>
      <c r="E777" t="s">
        <v>1442</v>
      </c>
      <c r="F777" t="s">
        <v>1958</v>
      </c>
      <c r="G777" t="b">
        <v>0</v>
      </c>
      <c r="H777">
        <f>HYPERLINK("https://athena.uww.org/media/cache/person_default/uploads/images/crop/67c55679c3474754344308.png")</f>
        <v>0</v>
      </c>
      <c r="I777">
        <f>HYPERLINK("https://athena.uww.org/p/37712")</f>
        <v>0</v>
      </c>
    </row>
    <row r="778" spans="1:9">
      <c r="A778">
        <v>41986</v>
      </c>
      <c r="B778" t="s">
        <v>785</v>
      </c>
      <c r="C778" t="s">
        <v>1339</v>
      </c>
      <c r="D778" t="s">
        <v>1397</v>
      </c>
      <c r="E778" t="s">
        <v>1440</v>
      </c>
      <c r="F778" t="s">
        <v>2193</v>
      </c>
      <c r="G778" t="b">
        <v>1</v>
      </c>
      <c r="H778">
        <f>HYPERLINK("https://athena.uww.org/media/cache/person_default/uploads/images/crop/68c1092f50216447991139.png")</f>
        <v>0</v>
      </c>
      <c r="I778">
        <f>HYPERLINK("https://athena.uww.org/p/41986")</f>
        <v>0</v>
      </c>
    </row>
    <row r="779" spans="1:9">
      <c r="A779">
        <v>4668</v>
      </c>
      <c r="B779" t="s">
        <v>786</v>
      </c>
      <c r="C779" t="s">
        <v>1339</v>
      </c>
      <c r="D779" t="s">
        <v>1397</v>
      </c>
      <c r="E779" t="s">
        <v>1441</v>
      </c>
      <c r="F779" t="s">
        <v>2194</v>
      </c>
      <c r="G779" t="b">
        <v>1</v>
      </c>
      <c r="H779">
        <f>HYPERLINK("https://athena.uww.org/media/cache/person_default/uploads/images/referee-4668.jpg")</f>
        <v>0</v>
      </c>
      <c r="I779">
        <f>HYPERLINK("https://athena.uww.org/p/4668")</f>
        <v>0</v>
      </c>
    </row>
    <row r="780" spans="1:9">
      <c r="A780">
        <v>45933</v>
      </c>
      <c r="B780" t="s">
        <v>787</v>
      </c>
      <c r="C780" t="s">
        <v>1340</v>
      </c>
      <c r="D780" t="s">
        <v>1397</v>
      </c>
      <c r="E780" t="s">
        <v>1441</v>
      </c>
      <c r="F780" t="s">
        <v>2195</v>
      </c>
      <c r="G780" t="b">
        <v>1</v>
      </c>
      <c r="H780">
        <f>HYPERLINK("https://athena.uww.org/media/cache/person_default/uploads/images/crop/592e8c2dd9448.png")</f>
        <v>0</v>
      </c>
      <c r="I780">
        <f>HYPERLINK("https://athena.uww.org/p/45933")</f>
        <v>0</v>
      </c>
    </row>
    <row r="781" spans="1:9">
      <c r="A781">
        <v>76362</v>
      </c>
      <c r="B781" t="s">
        <v>788</v>
      </c>
      <c r="C781" t="s">
        <v>1340</v>
      </c>
      <c r="D781" t="s">
        <v>1397</v>
      </c>
      <c r="E781" t="s">
        <v>1439</v>
      </c>
      <c r="F781" t="s">
        <v>1621</v>
      </c>
      <c r="G781" t="b">
        <v>1</v>
      </c>
      <c r="H781">
        <f>HYPERLINK("https://athena.uww.org/media/cache/person_default/uploads/images/crop/60b79fbb12d28693133199.png")</f>
        <v>0</v>
      </c>
      <c r="I781">
        <f>HYPERLINK("https://athena.uww.org/p/76362")</f>
        <v>0</v>
      </c>
    </row>
    <row r="782" spans="1:9">
      <c r="A782">
        <v>66791</v>
      </c>
      <c r="B782" t="s">
        <v>789</v>
      </c>
      <c r="C782" t="s">
        <v>1339</v>
      </c>
      <c r="D782" t="s">
        <v>1397</v>
      </c>
      <c r="E782" t="s">
        <v>1439</v>
      </c>
      <c r="F782" t="s">
        <v>2196</v>
      </c>
      <c r="G782" t="b">
        <v>1</v>
      </c>
      <c r="H782">
        <f>HYPERLINK("https://athena.uww.org/media/cache/person_default/uploads/images/crop/5cee319bdcc02800586741.png")</f>
        <v>0</v>
      </c>
      <c r="I782">
        <f>HYPERLINK("https://athena.uww.org/p/66791")</f>
        <v>0</v>
      </c>
    </row>
    <row r="783" spans="1:9">
      <c r="A783">
        <v>86931</v>
      </c>
      <c r="B783" t="s">
        <v>790</v>
      </c>
      <c r="C783" t="s">
        <v>1339</v>
      </c>
      <c r="D783" t="s">
        <v>1397</v>
      </c>
      <c r="E783" t="s">
        <v>1439</v>
      </c>
      <c r="F783" t="s">
        <v>2197</v>
      </c>
      <c r="G783" t="b">
        <v>1</v>
      </c>
      <c r="H783">
        <f>HYPERLINK("https://athena.uww.org/media/cache/person_default/uploads/images/crop/633e74566605c664686224.png")</f>
        <v>0</v>
      </c>
      <c r="I783">
        <f>HYPERLINK("https://athena.uww.org/p/86931")</f>
        <v>0</v>
      </c>
    </row>
    <row r="784" spans="1:9">
      <c r="A784">
        <v>66864</v>
      </c>
      <c r="B784" t="s">
        <v>791</v>
      </c>
      <c r="C784" t="s">
        <v>1339</v>
      </c>
      <c r="D784" t="s">
        <v>1397</v>
      </c>
      <c r="E784" t="s">
        <v>1442</v>
      </c>
      <c r="F784" t="s">
        <v>2198</v>
      </c>
      <c r="G784" t="b">
        <v>1</v>
      </c>
      <c r="H784">
        <f>HYPERLINK("https://athena.uww.org/media/cache/person_default/uploads/images/crop/5cee313a4f834669348009.png")</f>
        <v>0</v>
      </c>
      <c r="I784">
        <f>HYPERLINK("https://athena.uww.org/p/66864")</f>
        <v>0</v>
      </c>
    </row>
    <row r="785" spans="1:9">
      <c r="A785">
        <v>105452</v>
      </c>
      <c r="B785" t="s">
        <v>792</v>
      </c>
      <c r="C785" t="s">
        <v>1339</v>
      </c>
      <c r="D785" t="s">
        <v>1397</v>
      </c>
      <c r="E785" t="s">
        <v>1442</v>
      </c>
      <c r="F785" t="s">
        <v>2199</v>
      </c>
      <c r="G785" t="b">
        <v>1</v>
      </c>
      <c r="H785">
        <f>HYPERLINK("https://athena.uww.org/media/cache/person_default/uploads/images/67e45a63867c8731933457.jpg")</f>
        <v>0</v>
      </c>
      <c r="I785">
        <f>HYPERLINK("https://athena.uww.org/p/105452")</f>
        <v>0</v>
      </c>
    </row>
    <row r="786" spans="1:9">
      <c r="A786">
        <v>75853</v>
      </c>
      <c r="B786" t="s">
        <v>793</v>
      </c>
      <c r="C786" t="s">
        <v>1339</v>
      </c>
      <c r="D786" t="s">
        <v>1397</v>
      </c>
      <c r="E786" t="s">
        <v>1442</v>
      </c>
      <c r="F786" t="s">
        <v>2200</v>
      </c>
      <c r="G786" t="b">
        <v>1</v>
      </c>
      <c r="H786">
        <f>HYPERLINK("https://athena.uww.org/media/cache/person_default/uploads/images/crop/609f8b0dd638e787804692.png")</f>
        <v>0</v>
      </c>
      <c r="I786">
        <f>HYPERLINK("https://athena.uww.org/p/75853")</f>
        <v>0</v>
      </c>
    </row>
    <row r="787" spans="1:9">
      <c r="A787">
        <v>107475</v>
      </c>
      <c r="B787" t="s">
        <v>794</v>
      </c>
      <c r="C787" t="s">
        <v>1340</v>
      </c>
      <c r="D787" t="s">
        <v>1397</v>
      </c>
      <c r="E787" t="s">
        <v>1442</v>
      </c>
      <c r="F787" t="s">
        <v>2201</v>
      </c>
      <c r="G787" t="b">
        <v>1</v>
      </c>
      <c r="H787">
        <f>HYPERLINK("https://athena.uww.org/media/cache/person_default/uploads/images/crop/682ad10f64f97877020720.png")</f>
        <v>0</v>
      </c>
      <c r="I787">
        <f>HYPERLINK("https://athena.uww.org/p/107475")</f>
        <v>0</v>
      </c>
    </row>
    <row r="788" spans="1:9">
      <c r="A788">
        <v>100785</v>
      </c>
      <c r="B788" t="s">
        <v>795</v>
      </c>
      <c r="C788" t="s">
        <v>1339</v>
      </c>
      <c r="D788" t="s">
        <v>1397</v>
      </c>
      <c r="E788" t="s">
        <v>1442</v>
      </c>
      <c r="F788" t="s">
        <v>2202</v>
      </c>
      <c r="G788" t="b">
        <v>1</v>
      </c>
      <c r="H788">
        <f>HYPERLINK("https://athena.uww.org/media/cache/person_default/uploads/images/crop/66595ddc84270190705703.png")</f>
        <v>0</v>
      </c>
      <c r="I788">
        <f>HYPERLINK("https://athena.uww.org/p/100785")</f>
        <v>0</v>
      </c>
    </row>
    <row r="789" spans="1:9">
      <c r="A789">
        <v>5444</v>
      </c>
      <c r="B789" t="s">
        <v>796</v>
      </c>
      <c r="C789" t="s">
        <v>1339</v>
      </c>
      <c r="D789" t="s">
        <v>1398</v>
      </c>
      <c r="E789" t="s">
        <v>1440</v>
      </c>
      <c r="F789" t="s">
        <v>2203</v>
      </c>
      <c r="G789" t="b">
        <v>1</v>
      </c>
      <c r="H789">
        <f>HYPERLINK("https://athena.uww.org/media/cache/person_default/uploads/images/crop/63cfd2babbca5255134281.png")</f>
        <v>0</v>
      </c>
      <c r="I789">
        <f>HYPERLINK("https://athena.uww.org/p/5444")</f>
        <v>0</v>
      </c>
    </row>
    <row r="790" spans="1:9">
      <c r="A790">
        <v>51243</v>
      </c>
      <c r="B790" t="s">
        <v>797</v>
      </c>
      <c r="C790" t="s">
        <v>1339</v>
      </c>
      <c r="D790" t="s">
        <v>1398</v>
      </c>
      <c r="E790" t="s">
        <v>1441</v>
      </c>
      <c r="F790" t="s">
        <v>2204</v>
      </c>
      <c r="G790" t="b">
        <v>1</v>
      </c>
      <c r="H790">
        <f>HYPERLINK("https://athena.uww.org/media/cache/person_default/uploads/images/crop/59b79994da55e.png")</f>
        <v>0</v>
      </c>
      <c r="I790">
        <f>HYPERLINK("https://athena.uww.org/p/51243")</f>
        <v>0</v>
      </c>
    </row>
    <row r="791" spans="1:9">
      <c r="A791">
        <v>8288</v>
      </c>
      <c r="B791" t="s">
        <v>798</v>
      </c>
      <c r="C791" t="s">
        <v>1339</v>
      </c>
      <c r="D791" t="s">
        <v>1398</v>
      </c>
      <c r="E791" t="s">
        <v>1441</v>
      </c>
      <c r="F791" t="s">
        <v>1561</v>
      </c>
      <c r="G791" t="b">
        <v>1</v>
      </c>
      <c r="H791">
        <f>HYPERLINK("https://athena.uww.org/media/cache/person_default/uploads/images/67f38a601ce56951392316.png")</f>
        <v>0</v>
      </c>
      <c r="I791">
        <f>HYPERLINK("https://athena.uww.org/p/8288")</f>
        <v>0</v>
      </c>
    </row>
    <row r="792" spans="1:9">
      <c r="A792">
        <v>5014</v>
      </c>
      <c r="B792" t="s">
        <v>799</v>
      </c>
      <c r="C792" t="s">
        <v>1339</v>
      </c>
      <c r="D792" t="s">
        <v>1398</v>
      </c>
      <c r="E792" t="s">
        <v>1441</v>
      </c>
      <c r="F792" t="s">
        <v>2205</v>
      </c>
      <c r="G792" t="b">
        <v>1</v>
      </c>
      <c r="H792">
        <f>HYPERLINK("https://athena.uww.org/media/cache/person_default/uploads/images/crop/587ca199567f3.png")</f>
        <v>0</v>
      </c>
      <c r="I792">
        <f>HYPERLINK("https://athena.uww.org/p/5014")</f>
        <v>0</v>
      </c>
    </row>
    <row r="793" spans="1:9">
      <c r="A793">
        <v>5470</v>
      </c>
      <c r="B793" t="s">
        <v>800</v>
      </c>
      <c r="C793" t="s">
        <v>1339</v>
      </c>
      <c r="D793" t="s">
        <v>1398</v>
      </c>
      <c r="E793" t="s">
        <v>1441</v>
      </c>
      <c r="F793" t="s">
        <v>2206</v>
      </c>
      <c r="G793" t="b">
        <v>1</v>
      </c>
      <c r="H793">
        <f>HYPERLINK("https://athena.uww.org/media/cache/person_default/uploads/images/crop/6881fd90f21c2686141720.png")</f>
        <v>0</v>
      </c>
      <c r="I793">
        <f>HYPERLINK("https://athena.uww.org/p/5470")</f>
        <v>0</v>
      </c>
    </row>
    <row r="794" spans="1:9">
      <c r="A794">
        <v>5128</v>
      </c>
      <c r="B794" t="s">
        <v>801</v>
      </c>
      <c r="C794" t="s">
        <v>1339</v>
      </c>
      <c r="D794" t="s">
        <v>1398</v>
      </c>
      <c r="E794" t="s">
        <v>1441</v>
      </c>
      <c r="F794" t="s">
        <v>2207</v>
      </c>
      <c r="G794" t="b">
        <v>1</v>
      </c>
      <c r="H794">
        <f>HYPERLINK("https://athena.uww.org/media/cache/person_default/uploads/images/crop/6317105d1cb05991925275.png")</f>
        <v>0</v>
      </c>
      <c r="I794">
        <f>HYPERLINK("https://athena.uww.org/p/5128")</f>
        <v>0</v>
      </c>
    </row>
    <row r="795" spans="1:9">
      <c r="A795">
        <v>4700</v>
      </c>
      <c r="B795" t="s">
        <v>802</v>
      </c>
      <c r="C795" t="s">
        <v>1339</v>
      </c>
      <c r="D795" t="s">
        <v>1398</v>
      </c>
      <c r="E795" t="s">
        <v>1439</v>
      </c>
      <c r="F795" t="s">
        <v>2208</v>
      </c>
      <c r="G795" t="b">
        <v>1</v>
      </c>
      <c r="H795">
        <f>HYPERLINK("https://athena.uww.org/media/cache/person_default/uploads/images/587c61c50bdee.JPG")</f>
        <v>0</v>
      </c>
      <c r="I795">
        <f>HYPERLINK("https://athena.uww.org/p/4700")</f>
        <v>0</v>
      </c>
    </row>
    <row r="796" spans="1:9">
      <c r="A796">
        <v>10272</v>
      </c>
      <c r="B796" t="s">
        <v>803</v>
      </c>
      <c r="C796" t="s">
        <v>1340</v>
      </c>
      <c r="D796" t="s">
        <v>1398</v>
      </c>
      <c r="E796" t="s">
        <v>1439</v>
      </c>
      <c r="F796" t="s">
        <v>2209</v>
      </c>
      <c r="G796" t="b">
        <v>1</v>
      </c>
      <c r="H796">
        <f>HYPERLINK("https://athena.uww.org/media/cache/person_default/uploads/images/crop/668cf273a8f1d779850780.png")</f>
        <v>0</v>
      </c>
      <c r="I796">
        <f>HYPERLINK("https://athena.uww.org/p/10272")</f>
        <v>0</v>
      </c>
    </row>
    <row r="797" spans="1:9">
      <c r="A797">
        <v>58756</v>
      </c>
      <c r="B797" t="s">
        <v>804</v>
      </c>
      <c r="C797" t="s">
        <v>1340</v>
      </c>
      <c r="D797" t="s">
        <v>1398</v>
      </c>
      <c r="E797" t="s">
        <v>1439</v>
      </c>
      <c r="F797" t="s">
        <v>2210</v>
      </c>
      <c r="G797" t="b">
        <v>1</v>
      </c>
      <c r="H797">
        <f>HYPERLINK("https://athena.uww.org/media/cache/person_default/uploads/images/crop/5b19471cad924.png")</f>
        <v>0</v>
      </c>
      <c r="I797">
        <f>HYPERLINK("https://athena.uww.org/p/58756")</f>
        <v>0</v>
      </c>
    </row>
    <row r="798" spans="1:9">
      <c r="A798">
        <v>5015</v>
      </c>
      <c r="B798" t="s">
        <v>805</v>
      </c>
      <c r="C798" t="s">
        <v>1339</v>
      </c>
      <c r="D798" t="s">
        <v>1398</v>
      </c>
      <c r="E798" t="s">
        <v>1439</v>
      </c>
      <c r="F798" t="s">
        <v>2211</v>
      </c>
      <c r="G798" t="b">
        <v>1</v>
      </c>
      <c r="H798">
        <f>HYPERLINK("https://athena.uww.org/media/cache/person_default/uploads/images/crop/587ca03237601.png")</f>
        <v>0</v>
      </c>
      <c r="I798">
        <f>HYPERLINK("https://athena.uww.org/p/5015")</f>
        <v>0</v>
      </c>
    </row>
    <row r="799" spans="1:9">
      <c r="A799">
        <v>5474</v>
      </c>
      <c r="B799" t="s">
        <v>806</v>
      </c>
      <c r="C799" t="s">
        <v>1339</v>
      </c>
      <c r="D799" t="s">
        <v>1398</v>
      </c>
      <c r="E799" t="s">
        <v>1439</v>
      </c>
      <c r="F799" t="s">
        <v>2212</v>
      </c>
      <c r="G799" t="b">
        <v>1</v>
      </c>
      <c r="H799">
        <f>HYPERLINK("https://athena.uww.org/media/cache/person_default/uploads/images/crop/587c9ee1ce2a7.png")</f>
        <v>0</v>
      </c>
      <c r="I799">
        <f>HYPERLINK("https://athena.uww.org/p/5474")</f>
        <v>0</v>
      </c>
    </row>
    <row r="800" spans="1:9">
      <c r="A800">
        <v>58759</v>
      </c>
      <c r="B800" t="s">
        <v>807</v>
      </c>
      <c r="C800" t="s">
        <v>1339</v>
      </c>
      <c r="D800" t="s">
        <v>1398</v>
      </c>
      <c r="E800" t="s">
        <v>1439</v>
      </c>
      <c r="F800" t="s">
        <v>2213</v>
      </c>
      <c r="G800" t="b">
        <v>1</v>
      </c>
      <c r="H800">
        <f>HYPERLINK("https://athena.uww.org/media/cache/person_default/uploads/images/crop/5e73085da043b577571880.png")</f>
        <v>0</v>
      </c>
      <c r="I800">
        <f>HYPERLINK("https://athena.uww.org/p/58759")</f>
        <v>0</v>
      </c>
    </row>
    <row r="801" spans="1:9">
      <c r="A801">
        <v>5445</v>
      </c>
      <c r="B801" t="s">
        <v>808</v>
      </c>
      <c r="C801" t="s">
        <v>1339</v>
      </c>
      <c r="D801" t="s">
        <v>1398</v>
      </c>
      <c r="E801" t="s">
        <v>1439</v>
      </c>
      <c r="F801" t="s">
        <v>2214</v>
      </c>
      <c r="G801" t="b">
        <v>1</v>
      </c>
      <c r="H801">
        <f>HYPERLINK("https://athena.uww.org/media/cache/person_default/uploads/images/referee-5445.jpg")</f>
        <v>0</v>
      </c>
      <c r="I801">
        <f>HYPERLINK("https://athena.uww.org/p/5445")</f>
        <v>0</v>
      </c>
    </row>
    <row r="802" spans="1:9">
      <c r="A802">
        <v>5216</v>
      </c>
      <c r="B802" t="s">
        <v>809</v>
      </c>
      <c r="C802" t="s">
        <v>1339</v>
      </c>
      <c r="D802" t="s">
        <v>1398</v>
      </c>
      <c r="E802" t="s">
        <v>1442</v>
      </c>
      <c r="F802" t="s">
        <v>2215</v>
      </c>
      <c r="G802" t="b">
        <v>0</v>
      </c>
      <c r="H802">
        <f>HYPERLINK("https://athena.uww.org/media/cache/person_default/uploads/images/587c6328e601d.JPG")</f>
        <v>0</v>
      </c>
      <c r="I802">
        <f>HYPERLINK("https://athena.uww.org/p/5216")</f>
        <v>0</v>
      </c>
    </row>
    <row r="803" spans="1:9">
      <c r="A803">
        <v>5471</v>
      </c>
      <c r="B803" t="s">
        <v>810</v>
      </c>
      <c r="C803" t="s">
        <v>1339</v>
      </c>
      <c r="D803" t="s">
        <v>1398</v>
      </c>
      <c r="E803" t="s">
        <v>1442</v>
      </c>
      <c r="F803" t="s">
        <v>2216</v>
      </c>
      <c r="G803" t="b">
        <v>0</v>
      </c>
      <c r="H803">
        <f>HYPERLINK("https://athena.uww.org/media/cache/person_default/uploads/images/587c61e79c4e4.JPG")</f>
        <v>0</v>
      </c>
      <c r="I803">
        <f>HYPERLINK("https://athena.uww.org/p/5471")</f>
        <v>0</v>
      </c>
    </row>
    <row r="804" spans="1:9">
      <c r="A804">
        <v>97848</v>
      </c>
      <c r="B804" t="s">
        <v>811</v>
      </c>
      <c r="C804" t="s">
        <v>1339</v>
      </c>
      <c r="D804" t="s">
        <v>1398</v>
      </c>
      <c r="E804" t="s">
        <v>1442</v>
      </c>
      <c r="F804" t="s">
        <v>2217</v>
      </c>
      <c r="G804" t="b">
        <v>1</v>
      </c>
      <c r="H804">
        <f>HYPERLINK("https://athena.uww.org/media/cache/person_default/uploads/images/crop/686e08978bbc7436103631.png")</f>
        <v>0</v>
      </c>
      <c r="I804">
        <f>HYPERLINK("https://athena.uww.org/p/97848")</f>
        <v>0</v>
      </c>
    </row>
    <row r="805" spans="1:9">
      <c r="A805">
        <v>81394</v>
      </c>
      <c r="B805" t="s">
        <v>812</v>
      </c>
      <c r="C805" t="s">
        <v>1340</v>
      </c>
      <c r="D805" t="s">
        <v>1398</v>
      </c>
      <c r="E805" t="s">
        <v>1442</v>
      </c>
      <c r="F805" t="s">
        <v>2218</v>
      </c>
      <c r="G805" t="b">
        <v>0</v>
      </c>
      <c r="H805">
        <f>HYPERLINK("https://athena.uww.org/media/cache/person_default/uploads/images/crop/65f40114de4cb380336668.png")</f>
        <v>0</v>
      </c>
      <c r="I805">
        <f>HYPERLINK("https://athena.uww.org/p/81394")</f>
        <v>0</v>
      </c>
    </row>
    <row r="806" spans="1:9">
      <c r="A806">
        <v>76835</v>
      </c>
      <c r="B806" t="s">
        <v>813</v>
      </c>
      <c r="C806" t="s">
        <v>1340</v>
      </c>
      <c r="D806" t="s">
        <v>1398</v>
      </c>
      <c r="E806" t="s">
        <v>1442</v>
      </c>
      <c r="F806" t="s">
        <v>2219</v>
      </c>
      <c r="G806" t="b">
        <v>1</v>
      </c>
      <c r="H806">
        <f>HYPERLINK("https://athena.uww.org/media/cache/person_default/uploads/images/crop/6839446406ca2793693868.png")</f>
        <v>0</v>
      </c>
      <c r="I806">
        <f>HYPERLINK("https://athena.uww.org/p/76835")</f>
        <v>0</v>
      </c>
    </row>
    <row r="807" spans="1:9">
      <c r="A807">
        <v>36581</v>
      </c>
      <c r="B807" t="s">
        <v>814</v>
      </c>
      <c r="C807" t="s">
        <v>1339</v>
      </c>
      <c r="D807" t="s">
        <v>1398</v>
      </c>
      <c r="E807" t="s">
        <v>1442</v>
      </c>
      <c r="F807" t="s">
        <v>2220</v>
      </c>
      <c r="G807" t="b">
        <v>0</v>
      </c>
      <c r="H807">
        <f>HYPERLINK("https://athena.uww.org/media/cache/person_default/uploads/images/crop/5b150a5417e4a.png")</f>
        <v>0</v>
      </c>
      <c r="I807">
        <f>HYPERLINK("https://athena.uww.org/p/36581")</f>
        <v>0</v>
      </c>
    </row>
    <row r="808" spans="1:9">
      <c r="A808">
        <v>103773</v>
      </c>
      <c r="B808" t="s">
        <v>815</v>
      </c>
      <c r="C808" t="s">
        <v>1339</v>
      </c>
      <c r="D808" t="s">
        <v>1398</v>
      </c>
      <c r="E808" t="s">
        <v>1442</v>
      </c>
      <c r="F808" t="s">
        <v>2221</v>
      </c>
      <c r="G808" t="b">
        <v>1</v>
      </c>
      <c r="H808">
        <f>HYPERLINK("https://athena.uww.org/media/cache/person_default/uploads/images/crop/66f3ad8a7468b242822578.png")</f>
        <v>0</v>
      </c>
      <c r="I808">
        <f>HYPERLINK("https://athena.uww.org/p/103773")</f>
        <v>0</v>
      </c>
    </row>
    <row r="809" spans="1:9">
      <c r="A809">
        <v>58775</v>
      </c>
      <c r="B809" t="s">
        <v>816</v>
      </c>
      <c r="C809" t="s">
        <v>1339</v>
      </c>
      <c r="D809" t="s">
        <v>1398</v>
      </c>
      <c r="E809" t="s">
        <v>1442</v>
      </c>
      <c r="F809" t="s">
        <v>2222</v>
      </c>
      <c r="G809" t="b">
        <v>0</v>
      </c>
      <c r="H809">
        <f>HYPERLINK("https://athena.uww.org/media/cache/person_default/uploads/images/crop/5b19493e5e536.png")</f>
        <v>0</v>
      </c>
      <c r="I809">
        <f>HYPERLINK("https://athena.uww.org/p/58775")</f>
        <v>0</v>
      </c>
    </row>
    <row r="810" spans="1:9">
      <c r="A810">
        <v>81029</v>
      </c>
      <c r="B810" t="s">
        <v>817</v>
      </c>
      <c r="C810" t="s">
        <v>1340</v>
      </c>
      <c r="D810" t="s">
        <v>1398</v>
      </c>
      <c r="E810" t="s">
        <v>1442</v>
      </c>
      <c r="F810" t="s">
        <v>2223</v>
      </c>
      <c r="G810" t="b">
        <v>0</v>
      </c>
      <c r="H810">
        <f>HYPERLINK("https://athena.uww.org/media/cache/person_default/uploads/images/crop/6304ba82b1449065662791.png")</f>
        <v>0</v>
      </c>
      <c r="I810">
        <f>HYPERLINK("https://athena.uww.org/p/81029")</f>
        <v>0</v>
      </c>
    </row>
    <row r="811" spans="1:9">
      <c r="A811">
        <v>81398</v>
      </c>
      <c r="B811" t="s">
        <v>818</v>
      </c>
      <c r="C811" t="s">
        <v>1339</v>
      </c>
      <c r="D811" t="s">
        <v>1398</v>
      </c>
      <c r="E811" t="s">
        <v>1442</v>
      </c>
      <c r="F811" t="s">
        <v>2224</v>
      </c>
      <c r="G811" t="b">
        <v>1</v>
      </c>
      <c r="H811">
        <f>HYPERLINK("https://athena.uww.org/media/cache/person_default/uploads/images/6875fe2343e94860402194.png")</f>
        <v>0</v>
      </c>
      <c r="I811">
        <f>HYPERLINK("https://athena.uww.org/p/81398")</f>
        <v>0</v>
      </c>
    </row>
    <row r="812" spans="1:9">
      <c r="A812">
        <v>58752</v>
      </c>
      <c r="B812" t="s">
        <v>819</v>
      </c>
      <c r="C812" t="s">
        <v>1339</v>
      </c>
      <c r="D812" t="s">
        <v>1398</v>
      </c>
      <c r="E812" t="s">
        <v>1442</v>
      </c>
      <c r="F812" t="s">
        <v>2225</v>
      </c>
      <c r="G812" t="b">
        <v>0</v>
      </c>
      <c r="H812">
        <f>HYPERLINK("https://athena.uww.org/media/cache/person_default/uploads/images/crop/5b1949ea33d48.png")</f>
        <v>0</v>
      </c>
      <c r="I812">
        <f>HYPERLINK("https://athena.uww.org/p/58752")</f>
        <v>0</v>
      </c>
    </row>
    <row r="813" spans="1:9">
      <c r="A813">
        <v>60346</v>
      </c>
      <c r="B813" t="s">
        <v>820</v>
      </c>
      <c r="C813" t="s">
        <v>1339</v>
      </c>
      <c r="D813" t="s">
        <v>1399</v>
      </c>
      <c r="E813" t="s">
        <v>1441</v>
      </c>
      <c r="F813" t="s">
        <v>2226</v>
      </c>
      <c r="G813" t="b">
        <v>1</v>
      </c>
      <c r="H813">
        <f>HYPERLINK("https://athena.uww.org/media/cache/person_default/uploads/images/crop/620fa0e8d0850370178456.png")</f>
        <v>0</v>
      </c>
      <c r="I813">
        <f>HYPERLINK("https://athena.uww.org/p/60346")</f>
        <v>0</v>
      </c>
    </row>
    <row r="814" spans="1:9">
      <c r="A814">
        <v>61100</v>
      </c>
      <c r="B814" t="s">
        <v>821</v>
      </c>
      <c r="C814" t="s">
        <v>1339</v>
      </c>
      <c r="D814" t="s">
        <v>1399</v>
      </c>
      <c r="E814" t="s">
        <v>1439</v>
      </c>
      <c r="F814" t="s">
        <v>2227</v>
      </c>
      <c r="G814" t="b">
        <v>1</v>
      </c>
      <c r="H814">
        <f>HYPERLINK("https://athena.uww.org/media/cache/person_default/uploads/images/crop/5ba8fb2db1881.png")</f>
        <v>0</v>
      </c>
      <c r="I814">
        <f>HYPERLINK("https://athena.uww.org/p/61100")</f>
        <v>0</v>
      </c>
    </row>
    <row r="815" spans="1:9">
      <c r="A815">
        <v>4180</v>
      </c>
      <c r="B815" t="s">
        <v>822</v>
      </c>
      <c r="C815" t="s">
        <v>1339</v>
      </c>
      <c r="D815" t="s">
        <v>1399</v>
      </c>
      <c r="E815" t="s">
        <v>1439</v>
      </c>
      <c r="F815" t="s">
        <v>2228</v>
      </c>
      <c r="G815" t="b">
        <v>1</v>
      </c>
      <c r="H815">
        <f>HYPERLINK("https://athena.uww.org/media/cache/person_default/uploads/images/crop/63f33063b007f543433126.png")</f>
        <v>0</v>
      </c>
      <c r="I815">
        <f>HYPERLINK("https://athena.uww.org/p/4180")</f>
        <v>0</v>
      </c>
    </row>
    <row r="816" spans="1:9">
      <c r="A816">
        <v>85157</v>
      </c>
      <c r="B816" t="s">
        <v>823</v>
      </c>
      <c r="C816" t="s">
        <v>1339</v>
      </c>
      <c r="D816" t="s">
        <v>1399</v>
      </c>
      <c r="E816" t="s">
        <v>1442</v>
      </c>
      <c r="F816" t="s">
        <v>2229</v>
      </c>
      <c r="G816" t="b">
        <v>0</v>
      </c>
      <c r="H816">
        <f>HYPERLINK("https://athena.uww.org/media/cache/person_default/uploads/images/crop/62bd9ce35d86d107356202.png")</f>
        <v>0</v>
      </c>
      <c r="I816">
        <f>HYPERLINK("https://athena.uww.org/p/85157")</f>
        <v>0</v>
      </c>
    </row>
    <row r="817" spans="1:9">
      <c r="A817">
        <v>43601</v>
      </c>
      <c r="B817" t="s">
        <v>824</v>
      </c>
      <c r="C817" t="s">
        <v>1339</v>
      </c>
      <c r="D817" t="s">
        <v>1399</v>
      </c>
      <c r="E817" t="s">
        <v>1442</v>
      </c>
      <c r="F817" t="s">
        <v>2230</v>
      </c>
      <c r="G817" t="b">
        <v>0</v>
      </c>
      <c r="H817">
        <f>HYPERLINK("https://athena.uww.org/media/cache/person_default/uploads/images/crop/58da112a28943.png")</f>
        <v>0</v>
      </c>
      <c r="I817">
        <f>HYPERLINK("https://athena.uww.org/p/43601")</f>
        <v>0</v>
      </c>
    </row>
    <row r="818" spans="1:9">
      <c r="A818">
        <v>5302</v>
      </c>
      <c r="B818" t="s">
        <v>825</v>
      </c>
      <c r="C818" t="s">
        <v>1339</v>
      </c>
      <c r="D818" t="s">
        <v>1399</v>
      </c>
      <c r="E818" t="s">
        <v>1442</v>
      </c>
      <c r="F818" t="s">
        <v>2231</v>
      </c>
      <c r="G818" t="b">
        <v>1</v>
      </c>
      <c r="H818">
        <f>HYPERLINK("https://athena.uww.org/media/cache/person_default/uploads/images/referee-5302.jpg")</f>
        <v>0</v>
      </c>
      <c r="I818">
        <f>HYPERLINK("https://athena.uww.org/p/5302")</f>
        <v>0</v>
      </c>
    </row>
    <row r="819" spans="1:9">
      <c r="A819">
        <v>63290</v>
      </c>
      <c r="B819" t="s">
        <v>826</v>
      </c>
      <c r="C819" t="s">
        <v>1339</v>
      </c>
      <c r="D819" t="s">
        <v>1399</v>
      </c>
      <c r="E819" t="s">
        <v>1442</v>
      </c>
      <c r="F819" t="s">
        <v>2232</v>
      </c>
      <c r="G819" t="b">
        <v>1</v>
      </c>
      <c r="H819">
        <f>HYPERLINK("https://athena.uww.org/media/cache/person_default/uploads/images/crop/5c629f7a8799b349047590.png")</f>
        <v>0</v>
      </c>
      <c r="I819">
        <f>HYPERLINK("https://athena.uww.org/p/63290")</f>
        <v>0</v>
      </c>
    </row>
    <row r="820" spans="1:9">
      <c r="A820">
        <v>5307</v>
      </c>
      <c r="B820" t="s">
        <v>827</v>
      </c>
      <c r="C820" t="s">
        <v>1339</v>
      </c>
      <c r="D820" t="s">
        <v>1400</v>
      </c>
      <c r="E820" t="s">
        <v>1441</v>
      </c>
      <c r="F820" t="s">
        <v>2233</v>
      </c>
      <c r="G820" t="b">
        <v>1</v>
      </c>
      <c r="H820">
        <f>HYPERLINK("https://athena.uww.org/media/cache/person_default/uploads/images/crop/6143053456c64549915659.png")</f>
        <v>0</v>
      </c>
      <c r="I820">
        <f>HYPERLINK("https://athena.uww.org/p/5307")</f>
        <v>0</v>
      </c>
    </row>
    <row r="821" spans="1:9">
      <c r="A821">
        <v>81160</v>
      </c>
      <c r="B821" t="s">
        <v>828</v>
      </c>
      <c r="C821" t="s">
        <v>1339</v>
      </c>
      <c r="D821" t="s">
        <v>1401</v>
      </c>
      <c r="E821" t="s">
        <v>1442</v>
      </c>
      <c r="F821" t="s">
        <v>2234</v>
      </c>
      <c r="G821" t="b">
        <v>1</v>
      </c>
      <c r="H821">
        <f>HYPERLINK("https://athena.uww.org/media/cache/person_default/uploads/images/crop/67a9b2d583233915227718.png")</f>
        <v>0</v>
      </c>
      <c r="I821">
        <f>HYPERLINK("https://athena.uww.org/p/81160")</f>
        <v>0</v>
      </c>
    </row>
    <row r="822" spans="1:9">
      <c r="A822">
        <v>93140</v>
      </c>
      <c r="B822" t="s">
        <v>829</v>
      </c>
      <c r="C822" t="s">
        <v>1340</v>
      </c>
      <c r="D822" t="s">
        <v>1402</v>
      </c>
      <c r="E822" t="s">
        <v>1442</v>
      </c>
      <c r="F822" t="s">
        <v>2235</v>
      </c>
      <c r="G822" t="b">
        <v>1</v>
      </c>
      <c r="H822">
        <f>HYPERLINK("https://athena.uww.org/media/cache/person_default/uploads/images/crop/649d220a8e93e010716370.png")</f>
        <v>0</v>
      </c>
      <c r="I822">
        <f>HYPERLINK("https://athena.uww.org/p/93140")</f>
        <v>0</v>
      </c>
    </row>
    <row r="823" spans="1:9">
      <c r="A823">
        <v>3817</v>
      </c>
      <c r="B823" t="s">
        <v>830</v>
      </c>
      <c r="C823" t="s">
        <v>1339</v>
      </c>
      <c r="D823" t="s">
        <v>1403</v>
      </c>
      <c r="E823" t="s">
        <v>1442</v>
      </c>
      <c r="F823" t="s">
        <v>2236</v>
      </c>
      <c r="G823" t="b">
        <v>1</v>
      </c>
      <c r="H823">
        <f>HYPERLINK("https://athena.uww.org/media/cache/person_default/uploads/images/crop/5a1fbba295c3d.png")</f>
        <v>0</v>
      </c>
      <c r="I823">
        <f>HYPERLINK("https://athena.uww.org/p/3817")</f>
        <v>0</v>
      </c>
    </row>
    <row r="824" spans="1:9">
      <c r="A824">
        <v>5034</v>
      </c>
      <c r="B824" t="s">
        <v>831</v>
      </c>
      <c r="C824" t="s">
        <v>1339</v>
      </c>
      <c r="D824" t="s">
        <v>1404</v>
      </c>
      <c r="E824" t="s">
        <v>1440</v>
      </c>
      <c r="F824" t="s">
        <v>2237</v>
      </c>
      <c r="G824" t="b">
        <v>1</v>
      </c>
      <c r="H824">
        <f>HYPERLINK("https://athena.uww.org/media/cache/person_default/uploads/images/crop/63cba275dfab2351150060.png")</f>
        <v>0</v>
      </c>
      <c r="I824">
        <f>HYPERLINK("https://athena.uww.org/p/5034")</f>
        <v>0</v>
      </c>
    </row>
    <row r="825" spans="1:9">
      <c r="A825">
        <v>5035</v>
      </c>
      <c r="B825" t="s">
        <v>832</v>
      </c>
      <c r="C825" t="s">
        <v>1339</v>
      </c>
      <c r="D825" t="s">
        <v>1404</v>
      </c>
      <c r="E825" t="s">
        <v>1441</v>
      </c>
      <c r="F825" t="s">
        <v>2238</v>
      </c>
      <c r="G825" t="b">
        <v>1</v>
      </c>
      <c r="H825">
        <f>HYPERLINK("https://athena.uww.org/media/cache/person_default/uploads/images/crop/67a9ac26c5893247699718.png")</f>
        <v>0</v>
      </c>
      <c r="I825">
        <f>HYPERLINK("https://athena.uww.org/p/5035")</f>
        <v>0</v>
      </c>
    </row>
    <row r="826" spans="1:9">
      <c r="A826">
        <v>5262</v>
      </c>
      <c r="B826" t="s">
        <v>833</v>
      </c>
      <c r="C826" t="s">
        <v>1339</v>
      </c>
      <c r="D826" t="s">
        <v>1404</v>
      </c>
      <c r="E826" t="s">
        <v>1439</v>
      </c>
      <c r="F826" t="s">
        <v>2239</v>
      </c>
      <c r="G826" t="b">
        <v>1</v>
      </c>
      <c r="H826">
        <f>HYPERLINK("https://athena.uww.org/media/cache/person_default/uploads/images/referee-5262.jpg")</f>
        <v>0</v>
      </c>
      <c r="I826">
        <f>HYPERLINK("https://athena.uww.org/p/5262")</f>
        <v>0</v>
      </c>
    </row>
    <row r="827" spans="1:9">
      <c r="A827">
        <v>43699</v>
      </c>
      <c r="B827" t="s">
        <v>834</v>
      </c>
      <c r="C827" t="s">
        <v>1339</v>
      </c>
      <c r="D827" t="s">
        <v>1405</v>
      </c>
      <c r="E827" t="s">
        <v>1439</v>
      </c>
      <c r="F827" t="s">
        <v>2240</v>
      </c>
      <c r="G827" t="b">
        <v>1</v>
      </c>
      <c r="H827">
        <f>HYPERLINK("https://athena.uww.org/media/cache/person_default/uploads/images/crop/6304ba9fed979465687790.png")</f>
        <v>0</v>
      </c>
      <c r="I827">
        <f>HYPERLINK("https://athena.uww.org/p/43699")</f>
        <v>0</v>
      </c>
    </row>
    <row r="828" spans="1:9">
      <c r="A828">
        <v>94759</v>
      </c>
      <c r="B828" t="s">
        <v>835</v>
      </c>
      <c r="C828" t="s">
        <v>1339</v>
      </c>
      <c r="D828" t="s">
        <v>1405</v>
      </c>
      <c r="E828" t="s">
        <v>1442</v>
      </c>
      <c r="F828" t="s">
        <v>2241</v>
      </c>
      <c r="G828" t="b">
        <v>1</v>
      </c>
      <c r="H828">
        <f>HYPERLINK("https://athena.uww.org/media/cache/person_default/uploads/images/crop/64f02cc55da11466147713.png")</f>
        <v>0</v>
      </c>
      <c r="I828">
        <f>HYPERLINK("https://athena.uww.org/p/94759")</f>
        <v>0</v>
      </c>
    </row>
    <row r="829" spans="1:9">
      <c r="A829">
        <v>2937</v>
      </c>
      <c r="B829" t="s">
        <v>836</v>
      </c>
      <c r="C829" t="s">
        <v>1339</v>
      </c>
      <c r="D829" t="s">
        <v>1405</v>
      </c>
      <c r="E829" t="s">
        <v>1442</v>
      </c>
      <c r="F829" t="s">
        <v>2242</v>
      </c>
      <c r="G829" t="b">
        <v>0</v>
      </c>
      <c r="H829">
        <f>HYPERLINK("https://athena.uww.org/media/cache/person_default/uploads/images/referee-2937.jpg")</f>
        <v>0</v>
      </c>
      <c r="I829">
        <f>HYPERLINK("https://athena.uww.org/p/2937")</f>
        <v>0</v>
      </c>
    </row>
    <row r="830" spans="1:9">
      <c r="A830">
        <v>4689</v>
      </c>
      <c r="B830" t="s">
        <v>837</v>
      </c>
      <c r="C830" t="s">
        <v>1339</v>
      </c>
      <c r="D830" t="s">
        <v>1406</v>
      </c>
      <c r="E830" t="s">
        <v>1440</v>
      </c>
      <c r="F830" t="s">
        <v>2243</v>
      </c>
      <c r="G830" t="b">
        <v>1</v>
      </c>
      <c r="H830">
        <f>HYPERLINK("https://athena.uww.org/media/cache/person_default/uploads/images/crop/63cba25e182e6644664052.png")</f>
        <v>0</v>
      </c>
      <c r="I830">
        <f>HYPERLINK("https://athena.uww.org/p/4689")</f>
        <v>0</v>
      </c>
    </row>
    <row r="831" spans="1:9">
      <c r="A831">
        <v>67</v>
      </c>
      <c r="B831" t="s">
        <v>838</v>
      </c>
      <c r="C831" t="s">
        <v>1340</v>
      </c>
      <c r="D831" t="s">
        <v>1406</v>
      </c>
      <c r="E831" t="s">
        <v>1440</v>
      </c>
      <c r="F831" t="s">
        <v>2244</v>
      </c>
      <c r="G831" t="b">
        <v>1</v>
      </c>
      <c r="H831">
        <f>HYPERLINK("https://athena.uww.org/media/cache/person_default/uploads/images/crop/63cba259113da831947051.png")</f>
        <v>0</v>
      </c>
      <c r="I831">
        <f>HYPERLINK("https://athena.uww.org/p/67")</f>
        <v>0</v>
      </c>
    </row>
    <row r="832" spans="1:9">
      <c r="A832">
        <v>5328</v>
      </c>
      <c r="B832" t="s">
        <v>839</v>
      </c>
      <c r="C832" t="s">
        <v>1339</v>
      </c>
      <c r="D832" t="s">
        <v>1406</v>
      </c>
      <c r="E832" t="s">
        <v>1441</v>
      </c>
      <c r="F832" t="s">
        <v>2245</v>
      </c>
      <c r="G832" t="b">
        <v>1</v>
      </c>
      <c r="H832">
        <f>HYPERLINK("https://athena.uww.org/media/cache/person_default/uploads/images/56de8031b8007.jpg")</f>
        <v>0</v>
      </c>
      <c r="I832">
        <f>HYPERLINK("https://athena.uww.org/p/5328")</f>
        <v>0</v>
      </c>
    </row>
    <row r="833" spans="1:9">
      <c r="A833">
        <v>5446</v>
      </c>
      <c r="B833" t="s">
        <v>840</v>
      </c>
      <c r="C833" t="s">
        <v>1339</v>
      </c>
      <c r="D833" t="s">
        <v>1406</v>
      </c>
      <c r="E833" t="s">
        <v>1441</v>
      </c>
      <c r="F833" t="s">
        <v>1926</v>
      </c>
      <c r="G833" t="b">
        <v>1</v>
      </c>
      <c r="H833">
        <f>HYPERLINK("https://athena.uww.org/media/cache/person_default/uploads/images/referee-5446.jpg")</f>
        <v>0</v>
      </c>
      <c r="I833">
        <f>HYPERLINK("https://athena.uww.org/p/5446")</f>
        <v>0</v>
      </c>
    </row>
    <row r="834" spans="1:9">
      <c r="A834">
        <v>5169</v>
      </c>
      <c r="B834" t="s">
        <v>841</v>
      </c>
      <c r="C834" t="s">
        <v>1339</v>
      </c>
      <c r="D834" t="s">
        <v>1406</v>
      </c>
      <c r="E834" t="s">
        <v>1441</v>
      </c>
      <c r="F834" t="s">
        <v>2246</v>
      </c>
      <c r="G834" t="b">
        <v>1</v>
      </c>
      <c r="H834">
        <f>HYPERLINK("https://athena.uww.org/media/cache/person_default/uploads/images/referee-5169.jpg")</f>
        <v>0</v>
      </c>
      <c r="I834">
        <f>HYPERLINK("https://athena.uww.org/p/5169")</f>
        <v>0</v>
      </c>
    </row>
    <row r="835" spans="1:9">
      <c r="A835">
        <v>41831</v>
      </c>
      <c r="B835" t="s">
        <v>842</v>
      </c>
      <c r="C835" t="s">
        <v>1340</v>
      </c>
      <c r="D835" t="s">
        <v>1406</v>
      </c>
      <c r="E835" t="s">
        <v>1439</v>
      </c>
      <c r="F835" t="s">
        <v>2247</v>
      </c>
      <c r="G835" t="b">
        <v>0</v>
      </c>
      <c r="H835">
        <f>HYPERLINK("https://athena.uww.org/media/cache/person_default/uploads/images/crop/580f5e7967252.png")</f>
        <v>0</v>
      </c>
      <c r="I835">
        <f>HYPERLINK("https://athena.uww.org/p/41831")</f>
        <v>0</v>
      </c>
    </row>
    <row r="836" spans="1:9">
      <c r="A836">
        <v>78777</v>
      </c>
      <c r="B836" t="s">
        <v>843</v>
      </c>
      <c r="C836" t="s">
        <v>1340</v>
      </c>
      <c r="D836" t="s">
        <v>1406</v>
      </c>
      <c r="E836" t="s">
        <v>1439</v>
      </c>
      <c r="F836" t="s">
        <v>2248</v>
      </c>
      <c r="G836" t="b">
        <v>1</v>
      </c>
      <c r="H836">
        <f>HYPERLINK("https://athena.uww.org/media/cache/person_default/uploads/images/crop/6319ee4a4b6b6364784254.png")</f>
        <v>0</v>
      </c>
      <c r="I836">
        <f>HYPERLINK("https://athena.uww.org/p/78777")</f>
        <v>0</v>
      </c>
    </row>
    <row r="837" spans="1:9">
      <c r="A837">
        <v>59254</v>
      </c>
      <c r="B837" t="s">
        <v>844</v>
      </c>
      <c r="C837" t="s">
        <v>1339</v>
      </c>
      <c r="D837" t="s">
        <v>1406</v>
      </c>
      <c r="E837" t="s">
        <v>1442</v>
      </c>
      <c r="F837" t="s">
        <v>2249</v>
      </c>
      <c r="G837" t="b">
        <v>1</v>
      </c>
      <c r="H837">
        <f>HYPERLINK("https://athena.uww.org/media/cache/person_default/uploads/images/crop/5b3389264fa4b.png")</f>
        <v>0</v>
      </c>
      <c r="I837">
        <f>HYPERLINK("https://athena.uww.org/p/59254")</f>
        <v>0</v>
      </c>
    </row>
    <row r="838" spans="1:9">
      <c r="A838">
        <v>78779</v>
      </c>
      <c r="B838" t="s">
        <v>845</v>
      </c>
      <c r="C838" t="s">
        <v>1339</v>
      </c>
      <c r="D838" t="s">
        <v>1406</v>
      </c>
      <c r="E838" t="s">
        <v>1442</v>
      </c>
      <c r="F838" t="s">
        <v>1823</v>
      </c>
      <c r="G838" t="b">
        <v>1</v>
      </c>
      <c r="H838">
        <f>HYPERLINK("https://athena.uww.org/media/cache/person_default/uploads/images/66dab8bec57e6364956483.png")</f>
        <v>0</v>
      </c>
      <c r="I838">
        <f>HYPERLINK("https://athena.uww.org/p/78779")</f>
        <v>0</v>
      </c>
    </row>
    <row r="839" spans="1:9">
      <c r="A839">
        <v>53487</v>
      </c>
      <c r="B839" t="s">
        <v>846</v>
      </c>
      <c r="C839" t="s">
        <v>1339</v>
      </c>
      <c r="D839" t="s">
        <v>1407</v>
      </c>
      <c r="E839" t="s">
        <v>1442</v>
      </c>
      <c r="F839" t="s">
        <v>2250</v>
      </c>
      <c r="G839" t="b">
        <v>1</v>
      </c>
      <c r="H839">
        <f>HYPERLINK("https://athena.uww.org/media/cache/person_default/uploads/images/crop/5a8c2aa9ea46f.png")</f>
        <v>0</v>
      </c>
      <c r="I839">
        <f>HYPERLINK("https://athena.uww.org/p/53487")</f>
        <v>0</v>
      </c>
    </row>
    <row r="840" spans="1:9">
      <c r="A840">
        <v>90699</v>
      </c>
      <c r="B840" t="s">
        <v>847</v>
      </c>
      <c r="C840" t="s">
        <v>1339</v>
      </c>
      <c r="D840" t="s">
        <v>1408</v>
      </c>
      <c r="E840" t="s">
        <v>1442</v>
      </c>
      <c r="F840" t="s">
        <v>2251</v>
      </c>
      <c r="G840" t="b">
        <v>1</v>
      </c>
      <c r="H840">
        <f>HYPERLINK("https://athena.uww.org/media/cache/person_default/uploads/images/6450f7bc4635f330626569.jpg")</f>
        <v>0</v>
      </c>
      <c r="I840">
        <f>HYPERLINK("https://athena.uww.org/p/90699")</f>
        <v>0</v>
      </c>
    </row>
    <row r="841" spans="1:9">
      <c r="A841">
        <v>92172</v>
      </c>
      <c r="B841" t="s">
        <v>848</v>
      </c>
      <c r="C841" t="s">
        <v>1340</v>
      </c>
      <c r="D841" t="s">
        <v>1408</v>
      </c>
      <c r="E841" t="s">
        <v>1442</v>
      </c>
      <c r="F841" t="s">
        <v>2252</v>
      </c>
      <c r="G841" t="b">
        <v>1</v>
      </c>
      <c r="H841">
        <f>HYPERLINK("https://athena.uww.org/media/cache/person_default/uploads/images/647d20da13b90487724530.jpg")</f>
        <v>0</v>
      </c>
      <c r="I841">
        <f>HYPERLINK("https://athena.uww.org/p/92172")</f>
        <v>0</v>
      </c>
    </row>
    <row r="842" spans="1:9">
      <c r="A842">
        <v>2366</v>
      </c>
      <c r="B842" t="s">
        <v>849</v>
      </c>
      <c r="C842" t="s">
        <v>1339</v>
      </c>
      <c r="D842" t="s">
        <v>1409</v>
      </c>
      <c r="E842" t="s">
        <v>1442</v>
      </c>
      <c r="F842" t="s">
        <v>2253</v>
      </c>
      <c r="G842" t="b">
        <v>1</v>
      </c>
      <c r="H842">
        <f>HYPERLINK("https://athena.uww.org/media/cache/person_default/uploads/images/crop/60a361738566b247915314.png")</f>
        <v>0</v>
      </c>
      <c r="I842">
        <f>HYPERLINK("https://athena.uww.org/p/2366")</f>
        <v>0</v>
      </c>
    </row>
    <row r="843" spans="1:9">
      <c r="A843">
        <v>33551</v>
      </c>
      <c r="B843" t="s">
        <v>850</v>
      </c>
      <c r="C843" t="s">
        <v>1340</v>
      </c>
      <c r="D843" t="s">
        <v>1409</v>
      </c>
      <c r="E843" t="s">
        <v>1442</v>
      </c>
      <c r="F843" t="s">
        <v>2254</v>
      </c>
      <c r="G843" t="b">
        <v>1</v>
      </c>
      <c r="H843">
        <f>HYPERLINK("https://athena.uww.org/media/cache/person_default/uploads/images/crop/650b0ceb96797431214132.png")</f>
        <v>0</v>
      </c>
      <c r="I843">
        <f>HYPERLINK("https://athena.uww.org/p/33551")</f>
        <v>0</v>
      </c>
    </row>
    <row r="844" spans="1:9">
      <c r="A844">
        <v>66098</v>
      </c>
      <c r="B844" t="s">
        <v>851</v>
      </c>
      <c r="C844" t="s">
        <v>1339</v>
      </c>
      <c r="D844" t="s">
        <v>1409</v>
      </c>
      <c r="E844" t="s">
        <v>1442</v>
      </c>
      <c r="F844" t="s">
        <v>2255</v>
      </c>
      <c r="G844" t="b">
        <v>1</v>
      </c>
      <c r="H844">
        <f>HYPERLINK("https://athena.uww.org/media/cache/person_default/uploads/images/crop/6093b523ef0a7479856198.png")</f>
        <v>0</v>
      </c>
      <c r="I844">
        <f>HYPERLINK("https://athena.uww.org/p/66098")</f>
        <v>0</v>
      </c>
    </row>
    <row r="845" spans="1:9">
      <c r="A845">
        <v>107218</v>
      </c>
      <c r="B845" t="s">
        <v>852</v>
      </c>
      <c r="C845" t="s">
        <v>1340</v>
      </c>
      <c r="D845" t="s">
        <v>1409</v>
      </c>
      <c r="E845" t="s">
        <v>1442</v>
      </c>
      <c r="F845" t="s">
        <v>2256</v>
      </c>
      <c r="G845" t="b">
        <v>1</v>
      </c>
      <c r="H845">
        <f>HYPERLINK("https://athena.uww.org/media/cache/person_default/uploads/images/crop/682acfc69fdcd584238757.png")</f>
        <v>0</v>
      </c>
      <c r="I845">
        <f>HYPERLINK("https://athena.uww.org/p/107218")</f>
        <v>0</v>
      </c>
    </row>
    <row r="846" spans="1:9">
      <c r="A846">
        <v>75042</v>
      </c>
      <c r="B846" t="s">
        <v>853</v>
      </c>
      <c r="C846" t="s">
        <v>1339</v>
      </c>
      <c r="D846" t="s">
        <v>1409</v>
      </c>
      <c r="E846" t="s">
        <v>1442</v>
      </c>
      <c r="F846" t="s">
        <v>2240</v>
      </c>
      <c r="G846" t="b">
        <v>0</v>
      </c>
      <c r="H846">
        <f>HYPERLINK("https://athena.uww.org/media/cache/person_default/uploads/images/crop/608a65112c401976034346.png")</f>
        <v>0</v>
      </c>
      <c r="I846">
        <f>HYPERLINK("https://athena.uww.org/p/75042")</f>
        <v>0</v>
      </c>
    </row>
    <row r="847" spans="1:9">
      <c r="A847">
        <v>5060</v>
      </c>
      <c r="B847" t="s">
        <v>854</v>
      </c>
      <c r="C847" t="s">
        <v>1339</v>
      </c>
      <c r="D847" t="s">
        <v>1410</v>
      </c>
      <c r="E847" t="s">
        <v>1441</v>
      </c>
      <c r="F847" t="s">
        <v>2257</v>
      </c>
      <c r="G847" t="b">
        <v>1</v>
      </c>
      <c r="H847">
        <f>HYPERLINK("https://athena.uww.org/media/cache/person_default/uploads/images/referee-5060.jpg")</f>
        <v>0</v>
      </c>
      <c r="I847">
        <f>HYPERLINK("https://athena.uww.org/p/5060")</f>
        <v>0</v>
      </c>
    </row>
    <row r="848" spans="1:9">
      <c r="A848">
        <v>86971</v>
      </c>
      <c r="B848" t="s">
        <v>855</v>
      </c>
      <c r="C848" t="s">
        <v>1339</v>
      </c>
      <c r="D848" t="s">
        <v>1410</v>
      </c>
      <c r="E848" t="s">
        <v>1439</v>
      </c>
      <c r="F848" t="s">
        <v>2258</v>
      </c>
      <c r="G848" t="b">
        <v>1</v>
      </c>
      <c r="H848">
        <f>HYPERLINK("https://athena.uww.org/media/cache/person_default/uploads/images/crop/633d71e82fa21414110164.png")</f>
        <v>0</v>
      </c>
      <c r="I848">
        <f>HYPERLINK("https://athena.uww.org/p/86971")</f>
        <v>0</v>
      </c>
    </row>
    <row r="849" spans="1:9">
      <c r="A849">
        <v>5714</v>
      </c>
      <c r="B849" t="s">
        <v>856</v>
      </c>
      <c r="C849" t="s">
        <v>1340</v>
      </c>
      <c r="D849" t="s">
        <v>1410</v>
      </c>
      <c r="E849" t="s">
        <v>1439</v>
      </c>
      <c r="F849" t="s">
        <v>2259</v>
      </c>
      <c r="G849" t="b">
        <v>1</v>
      </c>
      <c r="H849">
        <f>HYPERLINK("https://athena.uww.org/media/cache/person_default/uploads/images/crop/6864df202a580140914053.png")</f>
        <v>0</v>
      </c>
      <c r="I849">
        <f>HYPERLINK("https://athena.uww.org/p/5714")</f>
        <v>0</v>
      </c>
    </row>
    <row r="850" spans="1:9">
      <c r="A850">
        <v>5059</v>
      </c>
      <c r="B850" t="s">
        <v>857</v>
      </c>
      <c r="C850" t="s">
        <v>1339</v>
      </c>
      <c r="D850" t="s">
        <v>1410</v>
      </c>
      <c r="E850" t="s">
        <v>1442</v>
      </c>
      <c r="F850" t="s">
        <v>2260</v>
      </c>
      <c r="G850" t="b">
        <v>0</v>
      </c>
      <c r="H850">
        <f>HYPERLINK("https://athena.uww.org/media/cache/person_default/uploads/images/56b87b6c22072.jpg")</f>
        <v>0</v>
      </c>
      <c r="I850">
        <f>HYPERLINK("https://athena.uww.org/p/5059")</f>
        <v>0</v>
      </c>
    </row>
    <row r="851" spans="1:9">
      <c r="A851">
        <v>4725</v>
      </c>
      <c r="B851" t="s">
        <v>858</v>
      </c>
      <c r="C851" t="s">
        <v>1339</v>
      </c>
      <c r="D851" t="s">
        <v>1410</v>
      </c>
      <c r="E851" t="s">
        <v>1442</v>
      </c>
      <c r="F851" t="s">
        <v>2261</v>
      </c>
      <c r="G851" t="b">
        <v>0</v>
      </c>
      <c r="H851">
        <f>HYPERLINK("https://athena.uww.org/media/cache/person_default/uploads/images/crop/58258726e4ce8.png")</f>
        <v>0</v>
      </c>
      <c r="I851">
        <f>HYPERLINK("https://athena.uww.org/p/4725")</f>
        <v>0</v>
      </c>
    </row>
    <row r="852" spans="1:9">
      <c r="A852">
        <v>5061</v>
      </c>
      <c r="B852" t="s">
        <v>859</v>
      </c>
      <c r="C852" t="s">
        <v>1339</v>
      </c>
      <c r="D852" t="s">
        <v>1410</v>
      </c>
      <c r="E852" t="s">
        <v>1442</v>
      </c>
      <c r="F852" t="s">
        <v>2262</v>
      </c>
      <c r="G852" t="b">
        <v>0</v>
      </c>
      <c r="H852">
        <f>HYPERLINK("https://athena.uww.org/media/cache/person_default/uploads/images/crop/5af016a32f6aa.png")</f>
        <v>0</v>
      </c>
      <c r="I852">
        <f>HYPERLINK("https://athena.uww.org/p/5061")</f>
        <v>0</v>
      </c>
    </row>
    <row r="853" spans="1:9">
      <c r="A853">
        <v>76044</v>
      </c>
      <c r="B853" t="s">
        <v>860</v>
      </c>
      <c r="C853" t="s">
        <v>1339</v>
      </c>
      <c r="D853" t="s">
        <v>1410</v>
      </c>
      <c r="E853" t="s">
        <v>1442</v>
      </c>
      <c r="F853" t="s">
        <v>2263</v>
      </c>
      <c r="G853" t="b">
        <v>1</v>
      </c>
      <c r="H853">
        <f>HYPERLINK("https://athena.uww.org/media/cache/person_default/uploads/images/crop/60aa63bd0ee7e299694465.png")</f>
        <v>0</v>
      </c>
      <c r="I853">
        <f>HYPERLINK("https://athena.uww.org/p/76044")</f>
        <v>0</v>
      </c>
    </row>
    <row r="854" spans="1:9">
      <c r="A854">
        <v>77312</v>
      </c>
      <c r="B854" t="s">
        <v>861</v>
      </c>
      <c r="C854" t="s">
        <v>1339</v>
      </c>
      <c r="D854" t="s">
        <v>1411</v>
      </c>
      <c r="E854" t="s">
        <v>1442</v>
      </c>
      <c r="F854" t="s">
        <v>2264</v>
      </c>
      <c r="G854" t="b">
        <v>1</v>
      </c>
      <c r="H854">
        <f>HYPERLINK("https://athena.uww.org/media/cache/person_default/uploads/images/crop/60ffa2656cb21896720197.png")</f>
        <v>0</v>
      </c>
      <c r="I854">
        <f>HYPERLINK("https://athena.uww.org/p/77312")</f>
        <v>0</v>
      </c>
    </row>
    <row r="855" spans="1:9">
      <c r="A855">
        <v>51027</v>
      </c>
      <c r="B855" t="s">
        <v>862</v>
      </c>
      <c r="C855" t="s">
        <v>1339</v>
      </c>
      <c r="D855" t="s">
        <v>1412</v>
      </c>
      <c r="E855" t="s">
        <v>1442</v>
      </c>
      <c r="F855" t="s">
        <v>2265</v>
      </c>
      <c r="G855" t="b">
        <v>1</v>
      </c>
      <c r="H855">
        <f>HYPERLINK("https://athena.uww.org/media/cache/person_default/uploads/images/crop/65f96553b25a4067033351.png")</f>
        <v>0</v>
      </c>
      <c r="I855">
        <f>HYPERLINK("https://athena.uww.org/p/51027")</f>
        <v>0</v>
      </c>
    </row>
    <row r="856" spans="1:9">
      <c r="A856">
        <v>42858</v>
      </c>
      <c r="B856" t="s">
        <v>863</v>
      </c>
      <c r="C856" t="s">
        <v>1339</v>
      </c>
      <c r="D856" t="s">
        <v>1412</v>
      </c>
      <c r="E856" t="s">
        <v>1442</v>
      </c>
      <c r="F856" t="s">
        <v>2266</v>
      </c>
      <c r="G856" t="b">
        <v>1</v>
      </c>
      <c r="H856">
        <f>HYPERLINK("https://athena.uww.org/media/cache/person_default/uploads/images/crop/59a56adcc4a26.png")</f>
        <v>0</v>
      </c>
      <c r="I856">
        <f>HYPERLINK("https://athena.uww.org/p/42858")</f>
        <v>0</v>
      </c>
    </row>
    <row r="857" spans="1:9">
      <c r="A857">
        <v>5178</v>
      </c>
      <c r="B857" t="s">
        <v>864</v>
      </c>
      <c r="C857" t="s">
        <v>1339</v>
      </c>
      <c r="D857" t="s">
        <v>1413</v>
      </c>
      <c r="E857" t="s">
        <v>1440</v>
      </c>
      <c r="F857" t="s">
        <v>1965</v>
      </c>
      <c r="G857" t="b">
        <v>1</v>
      </c>
      <c r="H857">
        <f>HYPERLINK("https://athena.uww.org/media/cache/person_default/uploads/images/crop/63cba111d3380928444703.png")</f>
        <v>0</v>
      </c>
      <c r="I857">
        <f>HYPERLINK("https://athena.uww.org/p/5178")</f>
        <v>0</v>
      </c>
    </row>
    <row r="858" spans="1:9">
      <c r="A858">
        <v>5270</v>
      </c>
      <c r="B858" t="s">
        <v>865</v>
      </c>
      <c r="C858" t="s">
        <v>1339</v>
      </c>
      <c r="D858" t="s">
        <v>1413</v>
      </c>
      <c r="E858" t="s">
        <v>1440</v>
      </c>
      <c r="F858" t="s">
        <v>2267</v>
      </c>
      <c r="G858" t="b">
        <v>1</v>
      </c>
      <c r="H858">
        <f>HYPERLINK("https://athena.uww.org/media/cache/person_default/uploads/images/crop/63cba12abdd9b946710751.png")</f>
        <v>0</v>
      </c>
      <c r="I858">
        <f>HYPERLINK("https://athena.uww.org/p/5270")</f>
        <v>0</v>
      </c>
    </row>
    <row r="859" spans="1:9">
      <c r="A859">
        <v>74388</v>
      </c>
      <c r="B859" t="s">
        <v>866</v>
      </c>
      <c r="C859" t="s">
        <v>1339</v>
      </c>
      <c r="D859" t="s">
        <v>1413</v>
      </c>
      <c r="E859" t="s">
        <v>1441</v>
      </c>
      <c r="F859" t="s">
        <v>2268</v>
      </c>
      <c r="G859" t="b">
        <v>1</v>
      </c>
      <c r="H859">
        <f>HYPERLINK("https://athena.uww.org/media/cache/person_default/uploads/images/crop/636dfa421c0f7395768937.png")</f>
        <v>0</v>
      </c>
      <c r="I859">
        <f>HYPERLINK("https://athena.uww.org/p/74388")</f>
        <v>0</v>
      </c>
    </row>
    <row r="860" spans="1:9">
      <c r="A860">
        <v>5107</v>
      </c>
      <c r="B860" t="s">
        <v>867</v>
      </c>
      <c r="C860" t="s">
        <v>1339</v>
      </c>
      <c r="D860" t="s">
        <v>1413</v>
      </c>
      <c r="E860" t="s">
        <v>1441</v>
      </c>
      <c r="F860" t="s">
        <v>2269</v>
      </c>
      <c r="G860" t="b">
        <v>1</v>
      </c>
      <c r="H860">
        <f>HYPERLINK("https://athena.uww.org/media/cache/person_default/uploads/images/referee-5107.jpg")</f>
        <v>0</v>
      </c>
      <c r="I860">
        <f>HYPERLINK("https://athena.uww.org/p/5107")</f>
        <v>0</v>
      </c>
    </row>
    <row r="861" spans="1:9">
      <c r="A861">
        <v>5447</v>
      </c>
      <c r="B861" t="s">
        <v>868</v>
      </c>
      <c r="C861" t="s">
        <v>1340</v>
      </c>
      <c r="D861" t="s">
        <v>1413</v>
      </c>
      <c r="E861" t="s">
        <v>1441</v>
      </c>
      <c r="F861" t="s">
        <v>2270</v>
      </c>
      <c r="G861" t="b">
        <v>1</v>
      </c>
      <c r="H861">
        <f>HYPERLINK("https://athena.uww.org/media/cache/person_default/uploads/images/referee-5447.jpg")</f>
        <v>0</v>
      </c>
      <c r="I861">
        <f>HYPERLINK("https://athena.uww.org/p/5447")</f>
        <v>0</v>
      </c>
    </row>
    <row r="862" spans="1:9">
      <c r="A862">
        <v>69448</v>
      </c>
      <c r="B862" t="s">
        <v>869</v>
      </c>
      <c r="C862" t="s">
        <v>1339</v>
      </c>
      <c r="D862" t="s">
        <v>1413</v>
      </c>
      <c r="E862" t="s">
        <v>1441</v>
      </c>
      <c r="F862" t="s">
        <v>2271</v>
      </c>
      <c r="G862" t="b">
        <v>1</v>
      </c>
      <c r="H862">
        <f>HYPERLINK("https://athena.uww.org/media/cache/person_default/uploads/images/crop/5d68d82f94d00160660199.png")</f>
        <v>0</v>
      </c>
      <c r="I862">
        <f>HYPERLINK("https://athena.uww.org/p/69448")</f>
        <v>0</v>
      </c>
    </row>
    <row r="863" spans="1:9">
      <c r="A863">
        <v>59248</v>
      </c>
      <c r="B863" t="s">
        <v>870</v>
      </c>
      <c r="C863" t="s">
        <v>1340</v>
      </c>
      <c r="D863" t="s">
        <v>1413</v>
      </c>
      <c r="E863" t="s">
        <v>1441</v>
      </c>
      <c r="F863" t="s">
        <v>2272</v>
      </c>
      <c r="G863" t="b">
        <v>1</v>
      </c>
      <c r="H863">
        <f>HYPERLINK("https://athena.uww.org/media/cache/person_default/uploads/images/5b335d5e5696d.jpg")</f>
        <v>0</v>
      </c>
      <c r="I863">
        <f>HYPERLINK("https://athena.uww.org/p/59248")</f>
        <v>0</v>
      </c>
    </row>
    <row r="864" spans="1:9">
      <c r="A864">
        <v>60429</v>
      </c>
      <c r="B864" t="s">
        <v>871</v>
      </c>
      <c r="C864" t="s">
        <v>1339</v>
      </c>
      <c r="D864" t="s">
        <v>1413</v>
      </c>
      <c r="E864" t="s">
        <v>1441</v>
      </c>
      <c r="F864" t="s">
        <v>2273</v>
      </c>
      <c r="G864" t="b">
        <v>1</v>
      </c>
      <c r="H864">
        <f>HYPERLINK("https://athena.uww.org/media/cache/person_default/uploads/images/crop/5b98c71d32534.png")</f>
        <v>0</v>
      </c>
      <c r="I864">
        <f>HYPERLINK("https://athena.uww.org/p/60429")</f>
        <v>0</v>
      </c>
    </row>
    <row r="865" spans="1:9">
      <c r="A865">
        <v>5271</v>
      </c>
      <c r="B865" t="s">
        <v>872</v>
      </c>
      <c r="C865" t="s">
        <v>1339</v>
      </c>
      <c r="D865" t="s">
        <v>1413</v>
      </c>
      <c r="E865" t="s">
        <v>1441</v>
      </c>
      <c r="F865" t="s">
        <v>2274</v>
      </c>
      <c r="G865" t="b">
        <v>1</v>
      </c>
      <c r="H865">
        <f>HYPERLINK("https://athena.uww.org/media/cache/person_default/uploads/images/56572f84cb421.jpg")</f>
        <v>0</v>
      </c>
      <c r="I865">
        <f>HYPERLINK("https://athena.uww.org/p/5271")</f>
        <v>0</v>
      </c>
    </row>
    <row r="866" spans="1:9">
      <c r="A866">
        <v>69267</v>
      </c>
      <c r="B866" t="s">
        <v>873</v>
      </c>
      <c r="C866" t="s">
        <v>1339</v>
      </c>
      <c r="D866" t="s">
        <v>1413</v>
      </c>
      <c r="E866" t="s">
        <v>1439</v>
      </c>
      <c r="F866" t="s">
        <v>2275</v>
      </c>
      <c r="G866" t="b">
        <v>1</v>
      </c>
      <c r="H866">
        <f>HYPERLINK("https://athena.uww.org/media/cache/person_default/uploads/images/crop/5d65193b81395245640795.png")</f>
        <v>0</v>
      </c>
      <c r="I866">
        <f>HYPERLINK("https://athena.uww.org/p/69267")</f>
        <v>0</v>
      </c>
    </row>
    <row r="867" spans="1:9">
      <c r="A867">
        <v>41836</v>
      </c>
      <c r="B867" t="s">
        <v>874</v>
      </c>
      <c r="C867" t="s">
        <v>1339</v>
      </c>
      <c r="D867" t="s">
        <v>1413</v>
      </c>
      <c r="E867" t="s">
        <v>1439</v>
      </c>
      <c r="F867" t="s">
        <v>2276</v>
      </c>
      <c r="G867" t="b">
        <v>1</v>
      </c>
      <c r="H867">
        <f>HYPERLINK("https://athena.uww.org/media/cache/person_default/uploads/images/crop/580f60f485db4.png")</f>
        <v>0</v>
      </c>
      <c r="I867">
        <f>HYPERLINK("https://athena.uww.org/p/41836")</f>
        <v>0</v>
      </c>
    </row>
    <row r="868" spans="1:9">
      <c r="A868">
        <v>67304</v>
      </c>
      <c r="B868" t="s">
        <v>875</v>
      </c>
      <c r="C868" t="s">
        <v>1339</v>
      </c>
      <c r="D868" t="s">
        <v>1413</v>
      </c>
      <c r="E868" t="s">
        <v>1439</v>
      </c>
      <c r="F868" t="s">
        <v>2277</v>
      </c>
      <c r="G868" t="b">
        <v>1</v>
      </c>
      <c r="H868">
        <f>HYPERLINK("https://athena.uww.org/media/cache/person_default/uploads/images/5d020422266d1633699530.jpg")</f>
        <v>0</v>
      </c>
      <c r="I868">
        <f>HYPERLINK("https://athena.uww.org/p/67304")</f>
        <v>0</v>
      </c>
    </row>
    <row r="869" spans="1:9">
      <c r="A869">
        <v>4553</v>
      </c>
      <c r="B869" t="s">
        <v>876</v>
      </c>
      <c r="C869" t="s">
        <v>1339</v>
      </c>
      <c r="D869" t="s">
        <v>1413</v>
      </c>
      <c r="E869" t="s">
        <v>1439</v>
      </c>
      <c r="F869" t="s">
        <v>2278</v>
      </c>
      <c r="G869" t="b">
        <v>1</v>
      </c>
      <c r="H869">
        <f>HYPERLINK("https://athena.uww.org/media/cache/person_default/uploads/images/5658616f65bbf.jpg")</f>
        <v>0</v>
      </c>
      <c r="I869">
        <f>HYPERLINK("https://athena.uww.org/p/4553")</f>
        <v>0</v>
      </c>
    </row>
    <row r="870" spans="1:9">
      <c r="A870">
        <v>3362</v>
      </c>
      <c r="B870" t="s">
        <v>877</v>
      </c>
      <c r="C870" t="s">
        <v>1339</v>
      </c>
      <c r="D870" t="s">
        <v>1413</v>
      </c>
      <c r="E870" t="s">
        <v>1439</v>
      </c>
      <c r="F870" t="s">
        <v>2279</v>
      </c>
      <c r="G870" t="b">
        <v>1</v>
      </c>
      <c r="H870">
        <f>HYPERLINK("https://athena.uww.org/media/cache/person_default/uploads/images/565725f070bf2.png")</f>
        <v>0</v>
      </c>
      <c r="I870">
        <f>HYPERLINK("https://athena.uww.org/p/3362")</f>
        <v>0</v>
      </c>
    </row>
    <row r="871" spans="1:9">
      <c r="A871">
        <v>9545</v>
      </c>
      <c r="B871" t="s">
        <v>878</v>
      </c>
      <c r="C871" t="s">
        <v>1339</v>
      </c>
      <c r="D871" t="s">
        <v>1413</v>
      </c>
      <c r="E871" t="s">
        <v>1439</v>
      </c>
      <c r="F871" t="s">
        <v>2280</v>
      </c>
      <c r="G871" t="b">
        <v>1</v>
      </c>
      <c r="H871">
        <f>HYPERLINK("https://athena.uww.org/media/cache/person_default/uploads/images/5cf62e5357bb5336791945.jpg")</f>
        <v>0</v>
      </c>
      <c r="I871">
        <f>HYPERLINK("https://athena.uww.org/p/9545")</f>
        <v>0</v>
      </c>
    </row>
    <row r="872" spans="1:9">
      <c r="A872">
        <v>5407</v>
      </c>
      <c r="B872" t="s">
        <v>879</v>
      </c>
      <c r="C872" t="s">
        <v>1339</v>
      </c>
      <c r="D872" t="s">
        <v>1413</v>
      </c>
      <c r="E872" t="s">
        <v>1439</v>
      </c>
      <c r="F872" t="s">
        <v>2281</v>
      </c>
      <c r="G872" t="b">
        <v>1</v>
      </c>
      <c r="H872">
        <f>HYPERLINK("https://athena.uww.org/media/cache/person_default/uploads/images/referee-5407.jpg")</f>
        <v>0</v>
      </c>
      <c r="I872">
        <f>HYPERLINK("https://athena.uww.org/p/5407")</f>
        <v>0</v>
      </c>
    </row>
    <row r="873" spans="1:9">
      <c r="A873">
        <v>3449</v>
      </c>
      <c r="B873" t="s">
        <v>880</v>
      </c>
      <c r="C873" t="s">
        <v>1339</v>
      </c>
      <c r="D873" t="s">
        <v>1413</v>
      </c>
      <c r="E873" t="s">
        <v>1439</v>
      </c>
      <c r="F873" t="s">
        <v>2282</v>
      </c>
      <c r="G873" t="b">
        <v>1</v>
      </c>
      <c r="H873">
        <f>HYPERLINK("https://athena.uww.org/media/cache/person_default/uploads/images/565726d2c8a81.jpg")</f>
        <v>0</v>
      </c>
      <c r="I873">
        <f>HYPERLINK("https://athena.uww.org/p/3449")</f>
        <v>0</v>
      </c>
    </row>
    <row r="874" spans="1:9">
      <c r="A874">
        <v>110476</v>
      </c>
      <c r="B874" t="s">
        <v>881</v>
      </c>
      <c r="C874" t="s">
        <v>1340</v>
      </c>
      <c r="D874" t="s">
        <v>1413</v>
      </c>
      <c r="E874" t="s">
        <v>1442</v>
      </c>
      <c r="F874" t="s">
        <v>2283</v>
      </c>
      <c r="G874" t="b">
        <v>1</v>
      </c>
      <c r="H874">
        <f>HYPERLINK("https://athena.uww.org/media/cache/person_default/uploads/images/crop/68aeaabf03186400042007.png")</f>
        <v>0</v>
      </c>
      <c r="I874">
        <f>HYPERLINK("https://athena.uww.org/p/110476")</f>
        <v>0</v>
      </c>
    </row>
    <row r="875" spans="1:9">
      <c r="A875">
        <v>30883</v>
      </c>
      <c r="B875" t="s">
        <v>882</v>
      </c>
      <c r="C875" t="s">
        <v>1339</v>
      </c>
      <c r="D875" t="s">
        <v>1413</v>
      </c>
      <c r="E875" t="s">
        <v>1442</v>
      </c>
      <c r="F875" t="s">
        <v>2284</v>
      </c>
      <c r="G875" t="b">
        <v>1</v>
      </c>
      <c r="H875">
        <f>HYPERLINK("https://athena.uww.org/media/cache/person_default/uploads/images/crop/6339ae292496c799037943.png")</f>
        <v>0</v>
      </c>
      <c r="I875">
        <f>HYPERLINK("https://athena.uww.org/p/30883")</f>
        <v>0</v>
      </c>
    </row>
    <row r="876" spans="1:9">
      <c r="A876">
        <v>5269</v>
      </c>
      <c r="B876" t="s">
        <v>883</v>
      </c>
      <c r="C876" t="s">
        <v>1339</v>
      </c>
      <c r="D876" t="s">
        <v>1413</v>
      </c>
      <c r="E876" t="s">
        <v>1442</v>
      </c>
      <c r="F876" t="s">
        <v>2285</v>
      </c>
      <c r="G876" t="b">
        <v>0</v>
      </c>
      <c r="H876">
        <f>HYPERLINK("https://athena.uww.org/media/cache/person_default/uploads/images/referee-5269.jpg")</f>
        <v>0</v>
      </c>
      <c r="I876">
        <f>HYPERLINK("https://athena.uww.org/p/5269")</f>
        <v>0</v>
      </c>
    </row>
    <row r="877" spans="1:9">
      <c r="A877">
        <v>3968</v>
      </c>
      <c r="B877" t="s">
        <v>884</v>
      </c>
      <c r="C877" t="s">
        <v>1339</v>
      </c>
      <c r="D877" t="s">
        <v>1414</v>
      </c>
      <c r="E877" t="s">
        <v>1440</v>
      </c>
      <c r="F877" t="s">
        <v>2286</v>
      </c>
      <c r="G877" t="b">
        <v>1</v>
      </c>
      <c r="H877">
        <f>HYPERLINK("https://athena.uww.org/media/cache/person_default/uploads/images/referee-3968.jpg")</f>
        <v>0</v>
      </c>
      <c r="I877">
        <f>HYPERLINK("https://athena.uww.org/p/3968")</f>
        <v>0</v>
      </c>
    </row>
    <row r="878" spans="1:9">
      <c r="A878">
        <v>41785</v>
      </c>
      <c r="B878" t="s">
        <v>885</v>
      </c>
      <c r="C878" t="s">
        <v>1339</v>
      </c>
      <c r="D878" t="s">
        <v>1414</v>
      </c>
      <c r="E878" t="s">
        <v>1441</v>
      </c>
      <c r="F878" t="s">
        <v>2287</v>
      </c>
      <c r="G878" t="b">
        <v>1</v>
      </c>
      <c r="H878">
        <f>HYPERLINK("https://athena.uww.org/media/cache/person_default/uploads/images/crop/580f201b3764b.png")</f>
        <v>0</v>
      </c>
      <c r="I878">
        <f>HYPERLINK("https://athena.uww.org/p/41785")</f>
        <v>0</v>
      </c>
    </row>
    <row r="879" spans="1:9">
      <c r="A879">
        <v>66094</v>
      </c>
      <c r="B879" t="s">
        <v>886</v>
      </c>
      <c r="C879" t="s">
        <v>1339</v>
      </c>
      <c r="D879" t="s">
        <v>1414</v>
      </c>
      <c r="E879" t="s">
        <v>1439</v>
      </c>
      <c r="F879" t="s">
        <v>2288</v>
      </c>
      <c r="G879" t="b">
        <v>1</v>
      </c>
      <c r="H879">
        <f>HYPERLINK("https://athena.uww.org/media/cache/person_default/uploads/images/crop/60768475032ea023355738.png")</f>
        <v>0</v>
      </c>
      <c r="I879">
        <f>HYPERLINK("https://athena.uww.org/p/66094")</f>
        <v>0</v>
      </c>
    </row>
    <row r="880" spans="1:9">
      <c r="A880">
        <v>11883</v>
      </c>
      <c r="B880" t="s">
        <v>887</v>
      </c>
      <c r="C880" t="s">
        <v>1340</v>
      </c>
      <c r="D880" t="s">
        <v>1415</v>
      </c>
      <c r="E880" t="s">
        <v>1439</v>
      </c>
      <c r="F880" t="s">
        <v>2289</v>
      </c>
      <c r="G880" t="b">
        <v>1</v>
      </c>
      <c r="H880">
        <f>HYPERLINK("https://athena.uww.org/media/cache/person_default/uploads/images/crop/67b70b73d5ffd685042314.png")</f>
        <v>0</v>
      </c>
      <c r="I880">
        <f>HYPERLINK("https://athena.uww.org/p/11883")</f>
        <v>0</v>
      </c>
    </row>
    <row r="881" spans="1:9">
      <c r="A881">
        <v>33431</v>
      </c>
      <c r="B881" t="s">
        <v>888</v>
      </c>
      <c r="C881" t="s">
        <v>1339</v>
      </c>
      <c r="D881" t="s">
        <v>1415</v>
      </c>
      <c r="E881" t="s">
        <v>1439</v>
      </c>
      <c r="F881" t="s">
        <v>2290</v>
      </c>
      <c r="G881" t="b">
        <v>1</v>
      </c>
      <c r="H881">
        <f>HYPERLINK("https://athena.uww.org/media/cache/person_default/uploads/images/crop/65eec9f698a96596589187.png")</f>
        <v>0</v>
      </c>
      <c r="I881">
        <f>HYPERLINK("https://athena.uww.org/p/33431")</f>
        <v>0</v>
      </c>
    </row>
    <row r="882" spans="1:9">
      <c r="A882">
        <v>67994</v>
      </c>
      <c r="B882" t="s">
        <v>889</v>
      </c>
      <c r="C882" t="s">
        <v>1339</v>
      </c>
      <c r="D882" t="s">
        <v>1415</v>
      </c>
      <c r="E882" t="s">
        <v>1439</v>
      </c>
      <c r="F882" t="s">
        <v>2291</v>
      </c>
      <c r="G882" t="b">
        <v>1</v>
      </c>
      <c r="H882">
        <f>HYPERLINK("https://athena.uww.org/media/cache/person_default/uploads/images/crop/67b70ba658fae222000173.png")</f>
        <v>0</v>
      </c>
      <c r="I882">
        <f>HYPERLINK("https://athena.uww.org/p/67994")</f>
        <v>0</v>
      </c>
    </row>
    <row r="883" spans="1:9">
      <c r="A883">
        <v>8191</v>
      </c>
      <c r="B883" t="s">
        <v>890</v>
      </c>
      <c r="C883" t="s">
        <v>1339</v>
      </c>
      <c r="D883" t="s">
        <v>1415</v>
      </c>
      <c r="E883" t="s">
        <v>1439</v>
      </c>
      <c r="F883" t="s">
        <v>2292</v>
      </c>
      <c r="G883" t="b">
        <v>1</v>
      </c>
      <c r="H883">
        <f>HYPERLINK("https://athena.uww.org/media/cache/person_default/uploads/images/crop/67b70af4abc12068045082.png")</f>
        <v>0</v>
      </c>
      <c r="I883">
        <f>HYPERLINK("https://athena.uww.org/p/8191")</f>
        <v>0</v>
      </c>
    </row>
    <row r="884" spans="1:9">
      <c r="A884">
        <v>102569</v>
      </c>
      <c r="B884" t="s">
        <v>891</v>
      </c>
      <c r="C884" t="s">
        <v>1339</v>
      </c>
      <c r="D884" t="s">
        <v>1415</v>
      </c>
      <c r="E884" t="s">
        <v>1442</v>
      </c>
      <c r="F884" t="s">
        <v>2293</v>
      </c>
      <c r="G884" t="b">
        <v>1</v>
      </c>
      <c r="H884">
        <f>HYPERLINK("https://athena.uww.org/media/cache/person_default/uploads/images/crop/683ae3c6a3d9b499866747.png")</f>
        <v>0</v>
      </c>
      <c r="I884">
        <f>HYPERLINK("https://athena.uww.org/p/102569")</f>
        <v>0</v>
      </c>
    </row>
    <row r="885" spans="1:9">
      <c r="A885">
        <v>5250</v>
      </c>
      <c r="B885" t="s">
        <v>892</v>
      </c>
      <c r="C885" t="s">
        <v>1339</v>
      </c>
      <c r="D885" t="s">
        <v>1416</v>
      </c>
      <c r="E885" t="s">
        <v>1440</v>
      </c>
      <c r="F885" t="s">
        <v>2294</v>
      </c>
      <c r="G885" t="b">
        <v>1</v>
      </c>
      <c r="H885">
        <f>HYPERLINK("https://athena.uww.org/media/cache/person_default/uploads/images/crop/5d8cb7c35327e932753172.png")</f>
        <v>0</v>
      </c>
      <c r="I885">
        <f>HYPERLINK("https://athena.uww.org/p/5250")</f>
        <v>0</v>
      </c>
    </row>
    <row r="886" spans="1:9">
      <c r="A886">
        <v>42079</v>
      </c>
      <c r="B886" t="s">
        <v>893</v>
      </c>
      <c r="C886" t="s">
        <v>1339</v>
      </c>
      <c r="D886" t="s">
        <v>1416</v>
      </c>
      <c r="E886" t="s">
        <v>1440</v>
      </c>
      <c r="F886" t="s">
        <v>2295</v>
      </c>
      <c r="G886" t="b">
        <v>1</v>
      </c>
      <c r="H886">
        <f>HYPERLINK("https://athena.uww.org/media/cache/person_default/uploads/images/crop/582aeb6b70f5b.png")</f>
        <v>0</v>
      </c>
      <c r="I886">
        <f>HYPERLINK("https://athena.uww.org/p/42079")</f>
        <v>0</v>
      </c>
    </row>
    <row r="887" spans="1:9">
      <c r="A887">
        <v>18117</v>
      </c>
      <c r="B887" t="s">
        <v>894</v>
      </c>
      <c r="C887" t="s">
        <v>1339</v>
      </c>
      <c r="D887" t="s">
        <v>1416</v>
      </c>
      <c r="E887" t="s">
        <v>1441</v>
      </c>
      <c r="F887" t="s">
        <v>2296</v>
      </c>
      <c r="G887" t="b">
        <v>1</v>
      </c>
      <c r="H887">
        <f>HYPERLINK("https://athena.uww.org/media/cache/person_default/uploads/images/crop/5af1b102941ac.png")</f>
        <v>0</v>
      </c>
      <c r="I887">
        <f>HYPERLINK("https://athena.uww.org/p/18117")</f>
        <v>0</v>
      </c>
    </row>
    <row r="888" spans="1:9">
      <c r="A888">
        <v>30896</v>
      </c>
      <c r="B888" t="s">
        <v>895</v>
      </c>
      <c r="C888" t="s">
        <v>1339</v>
      </c>
      <c r="D888" t="s">
        <v>1416</v>
      </c>
      <c r="E888" t="s">
        <v>1441</v>
      </c>
      <c r="F888" t="s">
        <v>2297</v>
      </c>
      <c r="G888" t="b">
        <v>1</v>
      </c>
      <c r="H888">
        <f>HYPERLINK("https://athena.uww.org/media/cache/person_default/uploads/images/crop/5825f2660d152.png")</f>
        <v>0</v>
      </c>
      <c r="I888">
        <f>HYPERLINK("https://athena.uww.org/p/30896")</f>
        <v>0</v>
      </c>
    </row>
    <row r="889" spans="1:9">
      <c r="A889">
        <v>75727</v>
      </c>
      <c r="B889" t="s">
        <v>896</v>
      </c>
      <c r="C889" t="s">
        <v>1340</v>
      </c>
      <c r="D889" t="s">
        <v>1416</v>
      </c>
      <c r="E889" t="s">
        <v>1439</v>
      </c>
      <c r="F889" t="s">
        <v>2298</v>
      </c>
      <c r="G889" t="b">
        <v>1</v>
      </c>
      <c r="H889">
        <f>HYPERLINK("https://athena.uww.org/media/cache/person_default/uploads/images/crop/609bfda5b4446740862227.png")</f>
        <v>0</v>
      </c>
      <c r="I889">
        <f>HYPERLINK("https://athena.uww.org/p/75727")</f>
        <v>0</v>
      </c>
    </row>
    <row r="890" spans="1:9">
      <c r="A890">
        <v>7841</v>
      </c>
      <c r="B890" t="s">
        <v>897</v>
      </c>
      <c r="C890" t="s">
        <v>1339</v>
      </c>
      <c r="D890" t="s">
        <v>1416</v>
      </c>
      <c r="E890" t="s">
        <v>1442</v>
      </c>
      <c r="F890" t="s">
        <v>2299</v>
      </c>
      <c r="G890" t="b">
        <v>1</v>
      </c>
      <c r="H890">
        <f>HYPERLINK("https://athena.uww.org/media/cache/person_default/uploads/images/1108070691001.jpg")</f>
        <v>0</v>
      </c>
      <c r="I890">
        <f>HYPERLINK("https://athena.uww.org/p/7841")</f>
        <v>0</v>
      </c>
    </row>
    <row r="891" spans="1:9">
      <c r="A891">
        <v>86930</v>
      </c>
      <c r="B891" t="s">
        <v>898</v>
      </c>
      <c r="C891" t="s">
        <v>1340</v>
      </c>
      <c r="D891" t="s">
        <v>1416</v>
      </c>
      <c r="E891" t="s">
        <v>1442</v>
      </c>
      <c r="F891" t="s">
        <v>2300</v>
      </c>
      <c r="G891" t="b">
        <v>1</v>
      </c>
      <c r="H891">
        <f>HYPERLINK("https://athena.uww.org/media/cache/person_default/uploads/images/6332a2084da48107121114.jpg")</f>
        <v>0</v>
      </c>
      <c r="I891">
        <f>HYPERLINK("https://athena.uww.org/p/86930")</f>
        <v>0</v>
      </c>
    </row>
    <row r="892" spans="1:9">
      <c r="A892">
        <v>5203</v>
      </c>
      <c r="B892" t="s">
        <v>899</v>
      </c>
      <c r="C892" t="s">
        <v>1339</v>
      </c>
      <c r="D892" t="s">
        <v>1416</v>
      </c>
      <c r="E892" t="s">
        <v>1442</v>
      </c>
      <c r="F892" t="s">
        <v>2301</v>
      </c>
      <c r="G892" t="b">
        <v>0</v>
      </c>
      <c r="H892">
        <f>HYPERLINK("https://athena.uww.org/media/cache/person_default/uploads/images/referee-5203.jpg")</f>
        <v>0</v>
      </c>
      <c r="I892">
        <f>HYPERLINK("https://athena.uww.org/p/5203")</f>
        <v>0</v>
      </c>
    </row>
    <row r="893" spans="1:9">
      <c r="A893">
        <v>104877</v>
      </c>
      <c r="B893" t="s">
        <v>900</v>
      </c>
      <c r="C893" t="s">
        <v>1339</v>
      </c>
      <c r="D893" t="s">
        <v>1417</v>
      </c>
      <c r="E893" t="s">
        <v>1442</v>
      </c>
      <c r="F893" t="s">
        <v>2302</v>
      </c>
      <c r="G893" t="b">
        <v>1</v>
      </c>
      <c r="H893">
        <f>HYPERLINK("https://athena.uww.org/media/cache/person_default/uploads/images/67ae5d0ab7243032081640.JPG")</f>
        <v>0</v>
      </c>
      <c r="I893">
        <f>HYPERLINK("https://athena.uww.org/p/104877")</f>
        <v>0</v>
      </c>
    </row>
    <row r="894" spans="1:9">
      <c r="A894">
        <v>104876</v>
      </c>
      <c r="B894" t="s">
        <v>901</v>
      </c>
      <c r="C894" t="s">
        <v>1339</v>
      </c>
      <c r="D894" t="s">
        <v>1417</v>
      </c>
      <c r="E894" t="s">
        <v>1442</v>
      </c>
      <c r="F894" t="s">
        <v>2303</v>
      </c>
      <c r="G894" t="b">
        <v>1</v>
      </c>
      <c r="H894">
        <f>HYPERLINK("https://athena.uww.org/media/cache/person_default/uploads/images/crop/67aee5a29985b681567985.png")</f>
        <v>0</v>
      </c>
      <c r="I894">
        <f>HYPERLINK("https://athena.uww.org/p/104876")</f>
        <v>0</v>
      </c>
    </row>
    <row r="895" spans="1:9">
      <c r="A895">
        <v>4150</v>
      </c>
      <c r="B895" t="s">
        <v>902</v>
      </c>
      <c r="C895" t="s">
        <v>1339</v>
      </c>
      <c r="D895" t="s">
        <v>1418</v>
      </c>
      <c r="E895" t="s">
        <v>1440</v>
      </c>
      <c r="F895" t="s">
        <v>2304</v>
      </c>
      <c r="G895" t="b">
        <v>1</v>
      </c>
      <c r="H895">
        <f>HYPERLINK("https://athena.uww.org/media/cache/person_default/uploads/images/crop/63cba03c3ad10729393147.png")</f>
        <v>0</v>
      </c>
      <c r="I895">
        <f>HYPERLINK("https://athena.uww.org/p/4150")</f>
        <v>0</v>
      </c>
    </row>
    <row r="896" spans="1:9">
      <c r="A896">
        <v>4782</v>
      </c>
      <c r="B896" t="s">
        <v>903</v>
      </c>
      <c r="C896" t="s">
        <v>1339</v>
      </c>
      <c r="D896" t="s">
        <v>1418</v>
      </c>
      <c r="E896" t="s">
        <v>1440</v>
      </c>
      <c r="F896" t="s">
        <v>2305</v>
      </c>
      <c r="G896" t="b">
        <v>1</v>
      </c>
      <c r="H896">
        <f>HYPERLINK("https://athena.uww.org/media/cache/person_default/uploads/images/crop/63cb9ed001426508508143.png")</f>
        <v>0</v>
      </c>
      <c r="I896">
        <f>HYPERLINK("https://athena.uww.org/p/4782")</f>
        <v>0</v>
      </c>
    </row>
    <row r="897" spans="1:9">
      <c r="A897">
        <v>4278</v>
      </c>
      <c r="B897" t="s">
        <v>904</v>
      </c>
      <c r="C897" t="s">
        <v>1339</v>
      </c>
      <c r="D897" t="s">
        <v>1418</v>
      </c>
      <c r="E897" t="s">
        <v>1440</v>
      </c>
      <c r="F897" t="s">
        <v>2306</v>
      </c>
      <c r="G897" t="b">
        <v>0</v>
      </c>
      <c r="H897">
        <f>HYPERLINK("https://athena.uww.org/media/cache/person_default/uploads/images/crop/63cb9e7d890ae542709508.png")</f>
        <v>0</v>
      </c>
      <c r="I897">
        <f>HYPERLINK("https://athena.uww.org/p/4278")</f>
        <v>0</v>
      </c>
    </row>
    <row r="898" spans="1:9">
      <c r="A898">
        <v>4652</v>
      </c>
      <c r="B898" t="s">
        <v>905</v>
      </c>
      <c r="C898" t="s">
        <v>1339</v>
      </c>
      <c r="D898" t="s">
        <v>1418</v>
      </c>
      <c r="E898" t="s">
        <v>1440</v>
      </c>
      <c r="F898" t="s">
        <v>2307</v>
      </c>
      <c r="G898" t="b">
        <v>1</v>
      </c>
      <c r="H898">
        <f>HYPERLINK("https://athena.uww.org/media/cache/person_default/uploads/images/crop/66fcf1742779f284058728.png")</f>
        <v>0</v>
      </c>
      <c r="I898">
        <f>HYPERLINK("https://athena.uww.org/p/4652")</f>
        <v>0</v>
      </c>
    </row>
    <row r="899" spans="1:9">
      <c r="A899">
        <v>5545</v>
      </c>
      <c r="B899" t="s">
        <v>906</v>
      </c>
      <c r="C899" t="s">
        <v>1339</v>
      </c>
      <c r="D899" t="s">
        <v>1418</v>
      </c>
      <c r="E899" t="s">
        <v>1441</v>
      </c>
      <c r="F899" t="s">
        <v>2308</v>
      </c>
      <c r="G899" t="b">
        <v>1</v>
      </c>
      <c r="H899">
        <f>HYPERLINK("https://athena.uww.org/media/cache/person_default/uploads/images/56938cb71303a.jpg")</f>
        <v>0</v>
      </c>
      <c r="I899">
        <f>HYPERLINK("https://athena.uww.org/p/5545")</f>
        <v>0</v>
      </c>
    </row>
    <row r="900" spans="1:9">
      <c r="A900">
        <v>5544</v>
      </c>
      <c r="B900" t="s">
        <v>907</v>
      </c>
      <c r="C900" t="s">
        <v>1339</v>
      </c>
      <c r="D900" t="s">
        <v>1418</v>
      </c>
      <c r="E900" t="s">
        <v>1441</v>
      </c>
      <c r="F900" t="s">
        <v>2309</v>
      </c>
      <c r="G900" t="b">
        <v>1</v>
      </c>
      <c r="H900">
        <f>HYPERLINK("https://athena.uww.org/media/cache/person_default/uploads/images/crop/5d395d51cebbd707111865.png")</f>
        <v>0</v>
      </c>
      <c r="I900">
        <f>HYPERLINK("https://athena.uww.org/p/5544")</f>
        <v>0</v>
      </c>
    </row>
    <row r="901" spans="1:9">
      <c r="A901">
        <v>58990</v>
      </c>
      <c r="B901" t="s">
        <v>908</v>
      </c>
      <c r="C901" t="s">
        <v>1339</v>
      </c>
      <c r="D901" t="s">
        <v>1418</v>
      </c>
      <c r="E901" t="s">
        <v>1441</v>
      </c>
      <c r="F901" t="s">
        <v>2310</v>
      </c>
      <c r="G901" t="b">
        <v>1</v>
      </c>
      <c r="H901">
        <f>HYPERLINK("https://athena.uww.org/media/cache/person_default/uploads/images/crop/6461f3862810d086294969.png")</f>
        <v>0</v>
      </c>
      <c r="I901">
        <f>HYPERLINK("https://athena.uww.org/p/58990")</f>
        <v>0</v>
      </c>
    </row>
    <row r="902" spans="1:9">
      <c r="A902">
        <v>74996</v>
      </c>
      <c r="B902" t="s">
        <v>909</v>
      </c>
      <c r="C902" t="s">
        <v>1339</v>
      </c>
      <c r="D902" t="s">
        <v>1418</v>
      </c>
      <c r="E902" t="s">
        <v>1441</v>
      </c>
      <c r="F902" t="s">
        <v>1462</v>
      </c>
      <c r="G902" t="b">
        <v>1</v>
      </c>
      <c r="H902">
        <f>HYPERLINK("https://athena.uww.org/media/cache/person_default/uploads/images/crop/608a64081c4e2090426725.png")</f>
        <v>0</v>
      </c>
      <c r="I902">
        <f>HYPERLINK("https://athena.uww.org/p/74996")</f>
        <v>0</v>
      </c>
    </row>
    <row r="903" spans="1:9">
      <c r="A903">
        <v>4149</v>
      </c>
      <c r="B903" t="s">
        <v>910</v>
      </c>
      <c r="C903" t="s">
        <v>1339</v>
      </c>
      <c r="D903" t="s">
        <v>1418</v>
      </c>
      <c r="E903" t="s">
        <v>1441</v>
      </c>
      <c r="F903" t="s">
        <v>2311</v>
      </c>
      <c r="G903" t="b">
        <v>1</v>
      </c>
      <c r="H903">
        <f>HYPERLINK("https://athena.uww.org/media/cache/person_default/uploads/images/56938dad1e6c0.jpg")</f>
        <v>0</v>
      </c>
      <c r="I903">
        <f>HYPERLINK("https://athena.uww.org/p/4149")</f>
        <v>0</v>
      </c>
    </row>
    <row r="904" spans="1:9">
      <c r="A904">
        <v>5358</v>
      </c>
      <c r="B904" t="s">
        <v>911</v>
      </c>
      <c r="C904" t="s">
        <v>1339</v>
      </c>
      <c r="D904" t="s">
        <v>1418</v>
      </c>
      <c r="E904" t="s">
        <v>1441</v>
      </c>
      <c r="F904" t="s">
        <v>2312</v>
      </c>
      <c r="G904" t="b">
        <v>1</v>
      </c>
      <c r="H904">
        <f>HYPERLINK("https://athena.uww.org/media/cache/person_default/uploads/images/crop/65cefeccded6f288692047.png")</f>
        <v>0</v>
      </c>
      <c r="I904">
        <f>HYPERLINK("https://athena.uww.org/p/5358")</f>
        <v>0</v>
      </c>
    </row>
    <row r="905" spans="1:9">
      <c r="A905">
        <v>5357</v>
      </c>
      <c r="B905" t="s">
        <v>912</v>
      </c>
      <c r="C905" t="s">
        <v>1339</v>
      </c>
      <c r="D905" t="s">
        <v>1418</v>
      </c>
      <c r="E905" t="s">
        <v>1441</v>
      </c>
      <c r="F905" t="s">
        <v>1764</v>
      </c>
      <c r="G905" t="b">
        <v>1</v>
      </c>
      <c r="H905">
        <f>HYPERLINK("https://athena.uww.org/media/cache/person_default/uploads/images/referee-5357.jpg")</f>
        <v>0</v>
      </c>
      <c r="I905">
        <f>HYPERLINK("https://athena.uww.org/p/5357")</f>
        <v>0</v>
      </c>
    </row>
    <row r="906" spans="1:9">
      <c r="A906">
        <v>81728</v>
      </c>
      <c r="B906" t="s">
        <v>913</v>
      </c>
      <c r="C906" t="s">
        <v>1339</v>
      </c>
      <c r="D906" t="s">
        <v>1418</v>
      </c>
      <c r="E906" t="s">
        <v>1439</v>
      </c>
      <c r="F906" t="s">
        <v>2313</v>
      </c>
      <c r="G906" t="b">
        <v>1</v>
      </c>
      <c r="H906">
        <f>HYPERLINK("https://athena.uww.org/media/cache/person_default/uploads/images/crop/626121ac84ba2167656557.png")</f>
        <v>0</v>
      </c>
      <c r="I906">
        <f>HYPERLINK("https://athena.uww.org/p/81728")</f>
        <v>0</v>
      </c>
    </row>
    <row r="907" spans="1:9">
      <c r="A907">
        <v>39295</v>
      </c>
      <c r="B907" t="s">
        <v>914</v>
      </c>
      <c r="C907" t="s">
        <v>1339</v>
      </c>
      <c r="D907" t="s">
        <v>1418</v>
      </c>
      <c r="E907" t="s">
        <v>1439</v>
      </c>
      <c r="F907" t="s">
        <v>2314</v>
      </c>
      <c r="G907" t="b">
        <v>1</v>
      </c>
      <c r="H907">
        <f>HYPERLINK("https://athena.uww.org/media/cache/person_default/uploads/images/5767ee3a4cb0b.jpg")</f>
        <v>0</v>
      </c>
      <c r="I907">
        <f>HYPERLINK("https://athena.uww.org/p/39295")</f>
        <v>0</v>
      </c>
    </row>
    <row r="908" spans="1:9">
      <c r="A908">
        <v>23783</v>
      </c>
      <c r="B908" t="s">
        <v>915</v>
      </c>
      <c r="C908" t="s">
        <v>1339</v>
      </c>
      <c r="D908" t="s">
        <v>1418</v>
      </c>
      <c r="E908" t="s">
        <v>1439</v>
      </c>
      <c r="F908" t="s">
        <v>2315</v>
      </c>
      <c r="G908" t="b">
        <v>1</v>
      </c>
      <c r="H908">
        <f>HYPERLINK("https://athena.uww.org/media/cache/person_default/uploads/images/crop/673f257d5648a004827230.png")</f>
        <v>0</v>
      </c>
      <c r="I908">
        <f>HYPERLINK("https://athena.uww.org/p/23783")</f>
        <v>0</v>
      </c>
    </row>
    <row r="909" spans="1:9">
      <c r="A909">
        <v>94113</v>
      </c>
      <c r="B909" t="s">
        <v>916</v>
      </c>
      <c r="C909" t="s">
        <v>1340</v>
      </c>
      <c r="D909" t="s">
        <v>1418</v>
      </c>
      <c r="E909" t="s">
        <v>1439</v>
      </c>
      <c r="F909" t="s">
        <v>2316</v>
      </c>
      <c r="G909" t="b">
        <v>1</v>
      </c>
      <c r="H909">
        <f>HYPERLINK("https://athena.uww.org/media/cache/person_default/uploads/images/64c8b793cf76e848886192.jpg")</f>
        <v>0</v>
      </c>
      <c r="I909">
        <f>HYPERLINK("https://athena.uww.org/p/94113")</f>
        <v>0</v>
      </c>
    </row>
    <row r="910" spans="1:9">
      <c r="A910">
        <v>81743</v>
      </c>
      <c r="B910" t="s">
        <v>917</v>
      </c>
      <c r="C910" t="s">
        <v>1339</v>
      </c>
      <c r="D910" t="s">
        <v>1418</v>
      </c>
      <c r="E910" t="s">
        <v>1442</v>
      </c>
      <c r="F910" t="s">
        <v>2317</v>
      </c>
      <c r="G910" t="b">
        <v>1</v>
      </c>
      <c r="H910">
        <f>HYPERLINK("https://athena.uww.org/media/cache/person_default/uploads/images/crop/626122a704b80073301500.png")</f>
        <v>0</v>
      </c>
      <c r="I910">
        <f>HYPERLINK("https://athena.uww.org/p/81743")</f>
        <v>0</v>
      </c>
    </row>
    <row r="911" spans="1:9">
      <c r="A911">
        <v>5321</v>
      </c>
      <c r="B911" t="s">
        <v>918</v>
      </c>
      <c r="C911" t="s">
        <v>1339</v>
      </c>
      <c r="D911" t="s">
        <v>1419</v>
      </c>
      <c r="E911" t="s">
        <v>1440</v>
      </c>
      <c r="F911" t="s">
        <v>1697</v>
      </c>
      <c r="G911" t="b">
        <v>1</v>
      </c>
      <c r="H911">
        <f>HYPERLINK("https://athena.uww.org/media/cache/person_default/uploads/images/crop/63cb9fe7c97a3096126766.png")</f>
        <v>0</v>
      </c>
      <c r="I911">
        <f>HYPERLINK("https://athena.uww.org/p/5321")</f>
        <v>0</v>
      </c>
    </row>
    <row r="912" spans="1:9">
      <c r="A912">
        <v>40701</v>
      </c>
      <c r="B912" t="s">
        <v>919</v>
      </c>
      <c r="C912" t="s">
        <v>1339</v>
      </c>
      <c r="D912" t="s">
        <v>1419</v>
      </c>
      <c r="E912" t="s">
        <v>1441</v>
      </c>
      <c r="F912" t="s">
        <v>2318</v>
      </c>
      <c r="G912" t="b">
        <v>1</v>
      </c>
      <c r="H912">
        <f>HYPERLINK("https://athena.uww.org/media/cache/person_default/uploads/images/crop/57c8405a71c5d.png")</f>
        <v>0</v>
      </c>
      <c r="I912">
        <f>HYPERLINK("https://athena.uww.org/p/40701")</f>
        <v>0</v>
      </c>
    </row>
    <row r="913" spans="1:9">
      <c r="A913">
        <v>43431</v>
      </c>
      <c r="B913" t="s">
        <v>920</v>
      </c>
      <c r="C913" t="s">
        <v>1340</v>
      </c>
      <c r="D913" t="s">
        <v>1419</v>
      </c>
      <c r="E913" t="s">
        <v>1441</v>
      </c>
      <c r="F913" t="s">
        <v>2319</v>
      </c>
      <c r="G913" t="b">
        <v>1</v>
      </c>
      <c r="H913">
        <f>HYPERLINK("https://athena.uww.org/media/cache/person_default/uploads/images/crop/59a7c85754c81.png")</f>
        <v>0</v>
      </c>
      <c r="I913">
        <f>HYPERLINK("https://athena.uww.org/p/43431")</f>
        <v>0</v>
      </c>
    </row>
    <row r="914" spans="1:9">
      <c r="A914">
        <v>67549</v>
      </c>
      <c r="B914" t="s">
        <v>921</v>
      </c>
      <c r="C914" t="s">
        <v>1339</v>
      </c>
      <c r="D914" t="s">
        <v>1419</v>
      </c>
      <c r="E914" t="s">
        <v>1441</v>
      </c>
      <c r="F914" t="s">
        <v>2320</v>
      </c>
      <c r="G914" t="b">
        <v>1</v>
      </c>
      <c r="H914">
        <f>HYPERLINK("https://athena.uww.org/media/cache/person_default/uploads/images/crop/5d243640d40e4175956162.png")</f>
        <v>0</v>
      </c>
      <c r="I914">
        <f>HYPERLINK("https://athena.uww.org/p/67549")</f>
        <v>0</v>
      </c>
    </row>
    <row r="915" spans="1:9">
      <c r="A915">
        <v>89005</v>
      </c>
      <c r="B915" t="s">
        <v>922</v>
      </c>
      <c r="C915" t="s">
        <v>1340</v>
      </c>
      <c r="D915" t="s">
        <v>1419</v>
      </c>
      <c r="E915" t="s">
        <v>1439</v>
      </c>
      <c r="F915" t="s">
        <v>2321</v>
      </c>
      <c r="G915" t="b">
        <v>1</v>
      </c>
      <c r="H915">
        <f>HYPERLINK("https://athena.uww.org/media/cache/person_default/uploads/images/crop/672dab5dcda71917521870.png")</f>
        <v>0</v>
      </c>
      <c r="I915">
        <f>HYPERLINK("https://athena.uww.org/p/89005")</f>
        <v>0</v>
      </c>
    </row>
    <row r="916" spans="1:9">
      <c r="A916">
        <v>78142</v>
      </c>
      <c r="B916" t="s">
        <v>923</v>
      </c>
      <c r="C916" t="s">
        <v>1339</v>
      </c>
      <c r="D916" t="s">
        <v>1419</v>
      </c>
      <c r="E916" t="s">
        <v>1439</v>
      </c>
      <c r="F916" t="s">
        <v>2322</v>
      </c>
      <c r="G916" t="b">
        <v>1</v>
      </c>
      <c r="H916">
        <f>HYPERLINK("https://athena.uww.org/media/cache/person_default/uploads/images/crop/612dc2e026e2b790665933.png")</f>
        <v>0</v>
      </c>
      <c r="I916">
        <f>HYPERLINK("https://athena.uww.org/p/78142")</f>
        <v>0</v>
      </c>
    </row>
    <row r="917" spans="1:9">
      <c r="A917">
        <v>85416</v>
      </c>
      <c r="B917" t="s">
        <v>924</v>
      </c>
      <c r="C917" t="s">
        <v>1339</v>
      </c>
      <c r="D917" t="s">
        <v>1419</v>
      </c>
      <c r="E917" t="s">
        <v>1439</v>
      </c>
      <c r="F917" t="s">
        <v>2323</v>
      </c>
      <c r="G917" t="b">
        <v>1</v>
      </c>
      <c r="H917">
        <f>HYPERLINK("https://athena.uww.org/media/cache/person_default/uploads/images/crop/62d677113f21c222356400.png")</f>
        <v>0</v>
      </c>
      <c r="I917">
        <f>HYPERLINK("https://athena.uww.org/p/85416")</f>
        <v>0</v>
      </c>
    </row>
    <row r="918" spans="1:9">
      <c r="A918">
        <v>108654</v>
      </c>
      <c r="B918" t="s">
        <v>925</v>
      </c>
      <c r="C918" t="s">
        <v>1339</v>
      </c>
      <c r="D918" t="s">
        <v>1419</v>
      </c>
      <c r="E918" t="s">
        <v>1442</v>
      </c>
      <c r="F918" t="s">
        <v>2324</v>
      </c>
      <c r="G918" t="b">
        <v>1</v>
      </c>
      <c r="H918">
        <f>HYPERLINK("https://athena.uww.org/media/cache/person_default/uploads/images/crop/683fe881a4672381576475.png")</f>
        <v>0</v>
      </c>
      <c r="I918">
        <f>HYPERLINK("https://athena.uww.org/p/108654")</f>
        <v>0</v>
      </c>
    </row>
    <row r="919" spans="1:9">
      <c r="A919">
        <v>4965</v>
      </c>
      <c r="B919" t="s">
        <v>926</v>
      </c>
      <c r="C919" t="s">
        <v>1339</v>
      </c>
      <c r="D919" t="s">
        <v>1420</v>
      </c>
      <c r="E919" t="s">
        <v>1440</v>
      </c>
      <c r="F919" t="s">
        <v>1692</v>
      </c>
      <c r="G919" t="b">
        <v>1</v>
      </c>
      <c r="H919">
        <f>HYPERLINK("https://athena.uww.org/media/cache/person_default/uploads/images/crop/63cb9db38a3ed112555076.png")</f>
        <v>0</v>
      </c>
      <c r="I919">
        <f>HYPERLINK("https://athena.uww.org/p/4965")</f>
        <v>0</v>
      </c>
    </row>
    <row r="920" spans="1:9">
      <c r="A920">
        <v>4729</v>
      </c>
      <c r="B920" t="s">
        <v>927</v>
      </c>
      <c r="C920" t="s">
        <v>1340</v>
      </c>
      <c r="D920" t="s">
        <v>1420</v>
      </c>
      <c r="E920" t="s">
        <v>1440</v>
      </c>
      <c r="F920" t="s">
        <v>1732</v>
      </c>
      <c r="G920" t="b">
        <v>1</v>
      </c>
      <c r="H920">
        <f>HYPERLINK("https://athena.uww.org/media/cache/person_default/uploads/images/crop/63cba0ac00c6f243914718.png")</f>
        <v>0</v>
      </c>
      <c r="I920">
        <f>HYPERLINK("https://athena.uww.org/p/4729")</f>
        <v>0</v>
      </c>
    </row>
    <row r="921" spans="1:9">
      <c r="A921">
        <v>30218</v>
      </c>
      <c r="B921" t="s">
        <v>928</v>
      </c>
      <c r="C921" t="s">
        <v>1339</v>
      </c>
      <c r="D921" t="s">
        <v>1420</v>
      </c>
      <c r="E921" t="s">
        <v>1440</v>
      </c>
      <c r="F921" t="s">
        <v>2325</v>
      </c>
      <c r="G921" t="b">
        <v>1</v>
      </c>
      <c r="H921">
        <f>HYPERLINK("https://athena.uww.org/media/cache/person_default/uploads/images/crop/63cb9d9d13d43695794096.png")</f>
        <v>0</v>
      </c>
      <c r="I921">
        <f>HYPERLINK("https://athena.uww.org/p/30218")</f>
        <v>0</v>
      </c>
    </row>
    <row r="922" spans="1:9">
      <c r="A922">
        <v>4989</v>
      </c>
      <c r="B922" t="s">
        <v>929</v>
      </c>
      <c r="C922" t="s">
        <v>1339</v>
      </c>
      <c r="D922" t="s">
        <v>1420</v>
      </c>
      <c r="E922" t="s">
        <v>1440</v>
      </c>
      <c r="F922" t="s">
        <v>2326</v>
      </c>
      <c r="G922" t="b">
        <v>1</v>
      </c>
      <c r="H922">
        <f>HYPERLINK("https://athena.uww.org/media/cache/person_default/uploads/images/crop/63cb9d969138e709300341.png")</f>
        <v>0</v>
      </c>
      <c r="I922">
        <f>HYPERLINK("https://athena.uww.org/p/4989")</f>
        <v>0</v>
      </c>
    </row>
    <row r="923" spans="1:9">
      <c r="A923">
        <v>4438</v>
      </c>
      <c r="B923" t="s">
        <v>930</v>
      </c>
      <c r="C923" t="s">
        <v>1339</v>
      </c>
      <c r="D923" t="s">
        <v>1420</v>
      </c>
      <c r="E923" t="s">
        <v>1441</v>
      </c>
      <c r="F923" t="s">
        <v>2327</v>
      </c>
      <c r="G923" t="b">
        <v>1</v>
      </c>
      <c r="H923">
        <f>HYPERLINK("https://athena.uww.org/media/cache/person_default/uploads/images/crop/5c27846fad54c112142965.png")</f>
        <v>0</v>
      </c>
      <c r="I923">
        <f>HYPERLINK("https://athena.uww.org/p/4438")</f>
        <v>0</v>
      </c>
    </row>
    <row r="924" spans="1:9">
      <c r="A924">
        <v>5109</v>
      </c>
      <c r="B924" t="s">
        <v>931</v>
      </c>
      <c r="C924" t="s">
        <v>1339</v>
      </c>
      <c r="D924" t="s">
        <v>1420</v>
      </c>
      <c r="E924" t="s">
        <v>1441</v>
      </c>
      <c r="F924" t="s">
        <v>2328</v>
      </c>
      <c r="G924" t="b">
        <v>1</v>
      </c>
      <c r="H924">
        <f>HYPERLINK("https://athena.uww.org/media/cache/person_default/uploads/images/61dc2b0fef642503102595.jpeg")</f>
        <v>0</v>
      </c>
      <c r="I924">
        <f>HYPERLINK("https://athena.uww.org/p/5109")</f>
        <v>0</v>
      </c>
    </row>
    <row r="925" spans="1:9">
      <c r="A925">
        <v>4587</v>
      </c>
      <c r="B925" t="s">
        <v>932</v>
      </c>
      <c r="C925" t="s">
        <v>1339</v>
      </c>
      <c r="D925" t="s">
        <v>1420</v>
      </c>
      <c r="E925" t="s">
        <v>1441</v>
      </c>
      <c r="F925" t="s">
        <v>2329</v>
      </c>
      <c r="G925" t="b">
        <v>1</v>
      </c>
      <c r="H925">
        <f>HYPERLINK("https://athena.uww.org/media/cache/person_default/uploads/images/referee-4587.jpg")</f>
        <v>0</v>
      </c>
      <c r="I925">
        <f>HYPERLINK("https://athena.uww.org/p/4587")</f>
        <v>0</v>
      </c>
    </row>
    <row r="926" spans="1:9">
      <c r="A926">
        <v>4593</v>
      </c>
      <c r="B926" t="s">
        <v>933</v>
      </c>
      <c r="C926" t="s">
        <v>1339</v>
      </c>
      <c r="D926" t="s">
        <v>1420</v>
      </c>
      <c r="E926" t="s">
        <v>1441</v>
      </c>
      <c r="F926" t="s">
        <v>2330</v>
      </c>
      <c r="G926" t="b">
        <v>1</v>
      </c>
      <c r="H926">
        <f>HYPERLINK("https://athena.uww.org/media/cache/person_default/uploads/images/referee-4593.jpg")</f>
        <v>0</v>
      </c>
      <c r="I926">
        <f>HYPERLINK("https://athena.uww.org/p/4593")</f>
        <v>0</v>
      </c>
    </row>
    <row r="927" spans="1:9">
      <c r="A927">
        <v>4966</v>
      </c>
      <c r="B927" t="s">
        <v>934</v>
      </c>
      <c r="C927" t="s">
        <v>1339</v>
      </c>
      <c r="D927" t="s">
        <v>1420</v>
      </c>
      <c r="E927" t="s">
        <v>1441</v>
      </c>
      <c r="F927" t="s">
        <v>2331</v>
      </c>
      <c r="G927" t="b">
        <v>1</v>
      </c>
      <c r="H927">
        <f>HYPERLINK("https://athena.uww.org/media/cache/person_default/uploads/images/crop/6657551642994440812038.png")</f>
        <v>0</v>
      </c>
      <c r="I927">
        <f>HYPERLINK("https://athena.uww.org/p/4966")</f>
        <v>0</v>
      </c>
    </row>
    <row r="928" spans="1:9">
      <c r="A928">
        <v>4465</v>
      </c>
      <c r="B928" t="s">
        <v>935</v>
      </c>
      <c r="C928" t="s">
        <v>1339</v>
      </c>
      <c r="D928" t="s">
        <v>1420</v>
      </c>
      <c r="E928" t="s">
        <v>1441</v>
      </c>
      <c r="F928" t="s">
        <v>2332</v>
      </c>
      <c r="G928" t="b">
        <v>0</v>
      </c>
      <c r="H928">
        <f>HYPERLINK("https://athena.uww.org/media/cache/person_default/uploads/images/5672dafe15538.jpg")</f>
        <v>0</v>
      </c>
      <c r="I928">
        <f>HYPERLINK("https://athena.uww.org/p/4465")</f>
        <v>0</v>
      </c>
    </row>
    <row r="929" spans="1:9">
      <c r="A929">
        <v>5529</v>
      </c>
      <c r="B929" t="s">
        <v>936</v>
      </c>
      <c r="C929" t="s">
        <v>1339</v>
      </c>
      <c r="D929" t="s">
        <v>1420</v>
      </c>
      <c r="E929" t="s">
        <v>1441</v>
      </c>
      <c r="F929" t="s">
        <v>2333</v>
      </c>
      <c r="G929" t="b">
        <v>1</v>
      </c>
      <c r="H929">
        <f>HYPERLINK("https://athena.uww.org/media/cache/person_default/uploads/images/referee-5529.jpg")</f>
        <v>0</v>
      </c>
      <c r="I929">
        <f>HYPERLINK("https://athena.uww.org/p/5529")</f>
        <v>0</v>
      </c>
    </row>
    <row r="930" spans="1:9">
      <c r="A930">
        <v>5188</v>
      </c>
      <c r="B930" t="s">
        <v>937</v>
      </c>
      <c r="C930" t="s">
        <v>1339</v>
      </c>
      <c r="D930" t="s">
        <v>1420</v>
      </c>
      <c r="E930" t="s">
        <v>1441</v>
      </c>
      <c r="F930" t="s">
        <v>2334</v>
      </c>
      <c r="G930" t="b">
        <v>1</v>
      </c>
      <c r="H930">
        <f>HYPERLINK("https://athena.uww.org/media/cache/person_default/uploads/images/56cd9b58b3e42.jpg")</f>
        <v>0</v>
      </c>
      <c r="I930">
        <f>HYPERLINK("https://athena.uww.org/p/5188")</f>
        <v>0</v>
      </c>
    </row>
    <row r="931" spans="1:9">
      <c r="A931">
        <v>5007</v>
      </c>
      <c r="B931" t="s">
        <v>938</v>
      </c>
      <c r="C931" t="s">
        <v>1339</v>
      </c>
      <c r="D931" t="s">
        <v>1420</v>
      </c>
      <c r="E931" t="s">
        <v>1441</v>
      </c>
      <c r="F931" t="s">
        <v>2335</v>
      </c>
      <c r="G931" t="b">
        <v>1</v>
      </c>
      <c r="H931">
        <f>HYPERLINK("https://athena.uww.org/media/cache/person_default/uploads/images/referee-5174.jpg")</f>
        <v>0</v>
      </c>
      <c r="I931">
        <f>HYPERLINK("https://athena.uww.org/p/5007")</f>
        <v>0</v>
      </c>
    </row>
    <row r="932" spans="1:9">
      <c r="A932">
        <v>38</v>
      </c>
      <c r="B932" t="s">
        <v>939</v>
      </c>
      <c r="C932" t="s">
        <v>1339</v>
      </c>
      <c r="D932" t="s">
        <v>1420</v>
      </c>
      <c r="E932" t="s">
        <v>1441</v>
      </c>
      <c r="F932" t="s">
        <v>2336</v>
      </c>
      <c r="G932" t="b">
        <v>1</v>
      </c>
      <c r="H932">
        <f>HYPERLINK("https://athena.uww.org/media/cache/person_default/uploads/images/567a78219a157.jpg")</f>
        <v>0</v>
      </c>
      <c r="I932">
        <f>HYPERLINK("https://athena.uww.org/p/38")</f>
        <v>0</v>
      </c>
    </row>
    <row r="933" spans="1:9">
      <c r="A933">
        <v>5422</v>
      </c>
      <c r="B933" t="s">
        <v>940</v>
      </c>
      <c r="C933" t="s">
        <v>1339</v>
      </c>
      <c r="D933" t="s">
        <v>1420</v>
      </c>
      <c r="E933" t="s">
        <v>1441</v>
      </c>
      <c r="F933" t="s">
        <v>2337</v>
      </c>
      <c r="G933" t="b">
        <v>1</v>
      </c>
      <c r="H933">
        <f>HYPERLINK("https://athena.uww.org/media/cache/person_default/uploads/images/referee-5422.jpg")</f>
        <v>0</v>
      </c>
      <c r="I933">
        <f>HYPERLINK("https://athena.uww.org/p/5422")</f>
        <v>0</v>
      </c>
    </row>
    <row r="934" spans="1:9">
      <c r="A934">
        <v>5263</v>
      </c>
      <c r="B934" t="s">
        <v>941</v>
      </c>
      <c r="C934" t="s">
        <v>1339</v>
      </c>
      <c r="D934" t="s">
        <v>1420</v>
      </c>
      <c r="E934" t="s">
        <v>1441</v>
      </c>
      <c r="F934" t="s">
        <v>2338</v>
      </c>
      <c r="G934" t="b">
        <v>1</v>
      </c>
      <c r="H934">
        <f>HYPERLINK("https://athena.uww.org/media/cache/person_default/uploads/images/referee-5263.jpg")</f>
        <v>0</v>
      </c>
      <c r="I934">
        <f>HYPERLINK("https://athena.uww.org/p/5263")</f>
        <v>0</v>
      </c>
    </row>
    <row r="935" spans="1:9">
      <c r="A935">
        <v>4586</v>
      </c>
      <c r="B935" t="s">
        <v>942</v>
      </c>
      <c r="C935" t="s">
        <v>1339</v>
      </c>
      <c r="D935" t="s">
        <v>1420</v>
      </c>
      <c r="E935" t="s">
        <v>1441</v>
      </c>
      <c r="F935" t="s">
        <v>2339</v>
      </c>
      <c r="G935" t="b">
        <v>0</v>
      </c>
      <c r="H935">
        <f>HYPERLINK("https://athena.uww.org/media/cache/person_default/uploads/images/referee-4586.jpg")</f>
        <v>0</v>
      </c>
      <c r="I935">
        <f>HYPERLINK("https://athena.uww.org/p/4586")</f>
        <v>0</v>
      </c>
    </row>
    <row r="936" spans="1:9">
      <c r="A936">
        <v>5211</v>
      </c>
      <c r="B936" t="s">
        <v>943</v>
      </c>
      <c r="C936" t="s">
        <v>1339</v>
      </c>
      <c r="D936" t="s">
        <v>1420</v>
      </c>
      <c r="E936" t="s">
        <v>1441</v>
      </c>
      <c r="F936" t="s">
        <v>2340</v>
      </c>
      <c r="G936" t="b">
        <v>1</v>
      </c>
      <c r="H936">
        <f>HYPERLINK("https://athena.uww.org/media/cache/person_default/uploads/images/crop/61cae074e4476391380586.png")</f>
        <v>0</v>
      </c>
      <c r="I936">
        <f>HYPERLINK("https://athena.uww.org/p/5211")</f>
        <v>0</v>
      </c>
    </row>
    <row r="937" spans="1:9">
      <c r="A937">
        <v>70</v>
      </c>
      <c r="B937" t="s">
        <v>944</v>
      </c>
      <c r="C937" t="s">
        <v>1339</v>
      </c>
      <c r="D937" t="s">
        <v>1420</v>
      </c>
      <c r="E937" t="s">
        <v>1441</v>
      </c>
      <c r="F937" t="s">
        <v>2341</v>
      </c>
      <c r="G937" t="b">
        <v>1</v>
      </c>
      <c r="H937">
        <f>HYPERLINK("https://athena.uww.org/media/cache/person_default/uploads/images/crop/67ca8f4fbabe6150961668.png")</f>
        <v>0</v>
      </c>
      <c r="I937">
        <f>HYPERLINK("https://athena.uww.org/p/70")</f>
        <v>0</v>
      </c>
    </row>
    <row r="938" spans="1:9">
      <c r="A938">
        <v>3745</v>
      </c>
      <c r="B938" t="s">
        <v>945</v>
      </c>
      <c r="C938" t="s">
        <v>1339</v>
      </c>
      <c r="D938" t="s">
        <v>1420</v>
      </c>
      <c r="E938" t="s">
        <v>1441</v>
      </c>
      <c r="F938" t="s">
        <v>2342</v>
      </c>
      <c r="G938" t="b">
        <v>0</v>
      </c>
      <c r="H938">
        <f>HYPERLINK("https://athena.uww.org/media/cache/person_default/uploads/images/56783c5b60fc6.jpg")</f>
        <v>0</v>
      </c>
      <c r="I938">
        <f>HYPERLINK("https://athena.uww.org/p/3745")</f>
        <v>0</v>
      </c>
    </row>
    <row r="939" spans="1:9">
      <c r="A939">
        <v>5164</v>
      </c>
      <c r="B939" t="s">
        <v>946</v>
      </c>
      <c r="C939" t="s">
        <v>1339</v>
      </c>
      <c r="D939" t="s">
        <v>1420</v>
      </c>
      <c r="E939" t="s">
        <v>1441</v>
      </c>
      <c r="F939" t="s">
        <v>2343</v>
      </c>
      <c r="G939" t="b">
        <v>1</v>
      </c>
      <c r="H939">
        <f>HYPERLINK("https://athena.uww.org/media/cache/person_default/uploads/images/referee-5164.jpg")</f>
        <v>0</v>
      </c>
      <c r="I939">
        <f>HYPERLINK("https://athena.uww.org/p/5164")</f>
        <v>0</v>
      </c>
    </row>
    <row r="940" spans="1:9">
      <c r="A940">
        <v>5530</v>
      </c>
      <c r="B940" t="s">
        <v>947</v>
      </c>
      <c r="C940" t="s">
        <v>1339</v>
      </c>
      <c r="D940" t="s">
        <v>1420</v>
      </c>
      <c r="E940" t="s">
        <v>1439</v>
      </c>
      <c r="F940" t="s">
        <v>2026</v>
      </c>
      <c r="G940" t="b">
        <v>0</v>
      </c>
      <c r="H940">
        <f>HYPERLINK("https://athena.uww.org/media/cache/person_default/uploads/images/referee-5530.jpg")</f>
        <v>0</v>
      </c>
      <c r="I940">
        <f>HYPERLINK("https://athena.uww.org/p/5530")</f>
        <v>0</v>
      </c>
    </row>
    <row r="941" spans="1:9">
      <c r="A941">
        <v>4254</v>
      </c>
      <c r="B941" t="s">
        <v>948</v>
      </c>
      <c r="C941" t="s">
        <v>1339</v>
      </c>
      <c r="D941" t="s">
        <v>1420</v>
      </c>
      <c r="E941" t="s">
        <v>1439</v>
      </c>
      <c r="F941" t="s">
        <v>2344</v>
      </c>
      <c r="G941" t="b">
        <v>0</v>
      </c>
      <c r="H941">
        <f>HYPERLINK("https://athena.uww.org/media/cache/person_default/uploads/images/567a4a716cf9f.jpg")</f>
        <v>0</v>
      </c>
      <c r="I941">
        <f>HYPERLINK("https://athena.uww.org/p/4254")</f>
        <v>0</v>
      </c>
    </row>
    <row r="942" spans="1:9">
      <c r="A942">
        <v>4467</v>
      </c>
      <c r="B942" t="s">
        <v>949</v>
      </c>
      <c r="C942" t="s">
        <v>1339</v>
      </c>
      <c r="D942" t="s">
        <v>1420</v>
      </c>
      <c r="E942" t="s">
        <v>1439</v>
      </c>
      <c r="F942" t="s">
        <v>2345</v>
      </c>
      <c r="G942" t="b">
        <v>0</v>
      </c>
      <c r="H942">
        <f>HYPERLINK("https://athena.uww.org/media/cache/person_default/uploads/images/crop/58d514195f121.png")</f>
        <v>0</v>
      </c>
      <c r="I942">
        <f>HYPERLINK("https://athena.uww.org/p/4467")</f>
        <v>0</v>
      </c>
    </row>
    <row r="943" spans="1:9">
      <c r="A943">
        <v>55882</v>
      </c>
      <c r="B943" t="s">
        <v>950</v>
      </c>
      <c r="C943" t="s">
        <v>1339</v>
      </c>
      <c r="D943" t="s">
        <v>1420</v>
      </c>
      <c r="E943" t="s">
        <v>1439</v>
      </c>
      <c r="F943" t="s">
        <v>2346</v>
      </c>
      <c r="G943" t="b">
        <v>0</v>
      </c>
      <c r="H943">
        <f>HYPERLINK("https://athena.uww.org/media/cache/person_default/uploads/images/crop/5ad87b1088dfa.png")</f>
        <v>0</v>
      </c>
      <c r="I943">
        <f>HYPERLINK("https://athena.uww.org/p/55882")</f>
        <v>0</v>
      </c>
    </row>
    <row r="944" spans="1:9">
      <c r="A944">
        <v>5320</v>
      </c>
      <c r="B944" t="s">
        <v>951</v>
      </c>
      <c r="C944" t="s">
        <v>1339</v>
      </c>
      <c r="D944" t="s">
        <v>1420</v>
      </c>
      <c r="E944" t="s">
        <v>1439</v>
      </c>
      <c r="F944" t="s">
        <v>2347</v>
      </c>
      <c r="G944" t="b">
        <v>0</v>
      </c>
      <c r="H944">
        <f>HYPERLINK("https://athena.uww.org/media/cache/person_default/uploads/images/referee-5320.jpg")</f>
        <v>0</v>
      </c>
      <c r="I944">
        <f>HYPERLINK("https://athena.uww.org/p/5320")</f>
        <v>0</v>
      </c>
    </row>
    <row r="945" spans="1:9">
      <c r="A945">
        <v>5212</v>
      </c>
      <c r="B945" t="s">
        <v>952</v>
      </c>
      <c r="C945" t="s">
        <v>1339</v>
      </c>
      <c r="D945" t="s">
        <v>1420</v>
      </c>
      <c r="E945" t="s">
        <v>1439</v>
      </c>
      <c r="F945" t="s">
        <v>2348</v>
      </c>
      <c r="G945" t="b">
        <v>0</v>
      </c>
      <c r="H945">
        <f>HYPERLINK("https://athena.uww.org/media/cache/person_default/uploads/images/referee-5212.jpg")</f>
        <v>0</v>
      </c>
      <c r="I945">
        <f>HYPERLINK("https://athena.uww.org/p/5212")</f>
        <v>0</v>
      </c>
    </row>
    <row r="946" spans="1:9">
      <c r="A946">
        <v>60178</v>
      </c>
      <c r="B946" t="s">
        <v>953</v>
      </c>
      <c r="C946" t="s">
        <v>1339</v>
      </c>
      <c r="D946" t="s">
        <v>1420</v>
      </c>
      <c r="E946" t="s">
        <v>1439</v>
      </c>
      <c r="F946" t="s">
        <v>2349</v>
      </c>
      <c r="G946" t="b">
        <v>0</v>
      </c>
      <c r="H946">
        <f>HYPERLINK("https://athena.uww.org/media/cache/person_default/uploads/images/crop/5b83dc54c5c04.png")</f>
        <v>0</v>
      </c>
      <c r="I946">
        <f>HYPERLINK("https://athena.uww.org/p/60178")</f>
        <v>0</v>
      </c>
    </row>
    <row r="947" spans="1:9">
      <c r="A947">
        <v>58900</v>
      </c>
      <c r="B947" t="s">
        <v>954</v>
      </c>
      <c r="C947" t="s">
        <v>1339</v>
      </c>
      <c r="D947" t="s">
        <v>1420</v>
      </c>
      <c r="E947" t="s">
        <v>1439</v>
      </c>
      <c r="F947" t="s">
        <v>2350</v>
      </c>
      <c r="G947" t="b">
        <v>1</v>
      </c>
      <c r="H947">
        <f>HYPERLINK("https://athena.uww.org/media/cache/person_default/uploads/images/crop/5b194a05dcfe5.png")</f>
        <v>0</v>
      </c>
      <c r="I947">
        <f>HYPERLINK("https://athena.uww.org/p/58900")</f>
        <v>0</v>
      </c>
    </row>
    <row r="948" spans="1:9">
      <c r="A948">
        <v>5319</v>
      </c>
      <c r="B948" t="s">
        <v>955</v>
      </c>
      <c r="C948" t="s">
        <v>1340</v>
      </c>
      <c r="D948" t="s">
        <v>1420</v>
      </c>
      <c r="E948" t="s">
        <v>1439</v>
      </c>
      <c r="F948" t="s">
        <v>2351</v>
      </c>
      <c r="G948" t="b">
        <v>0</v>
      </c>
      <c r="H948">
        <f>HYPERLINK("https://athena.uww.org/media/cache/person_default/uploads/images/referee-5319.jpg")</f>
        <v>0</v>
      </c>
      <c r="I948">
        <f>HYPERLINK("https://athena.uww.org/p/5319")</f>
        <v>0</v>
      </c>
    </row>
    <row r="949" spans="1:9">
      <c r="A949">
        <v>4691</v>
      </c>
      <c r="B949" t="s">
        <v>956</v>
      </c>
      <c r="C949" t="s">
        <v>1339</v>
      </c>
      <c r="D949" t="s">
        <v>1420</v>
      </c>
      <c r="E949" t="s">
        <v>1439</v>
      </c>
      <c r="F949" t="s">
        <v>2352</v>
      </c>
      <c r="G949" t="b">
        <v>0</v>
      </c>
      <c r="H949">
        <f>HYPERLINK("https://athena.uww.org/media/cache/person_default/uploads/images/referee-4891.jpg")</f>
        <v>0</v>
      </c>
      <c r="I949">
        <f>HYPERLINK("https://athena.uww.org/p/4691")</f>
        <v>0</v>
      </c>
    </row>
    <row r="950" spans="1:9">
      <c r="A950">
        <v>5274</v>
      </c>
      <c r="B950" t="s">
        <v>957</v>
      </c>
      <c r="C950" t="s">
        <v>1339</v>
      </c>
      <c r="D950" t="s">
        <v>1420</v>
      </c>
      <c r="E950" t="s">
        <v>1439</v>
      </c>
      <c r="F950" t="s">
        <v>2353</v>
      </c>
      <c r="G950" t="b">
        <v>0</v>
      </c>
      <c r="H950">
        <f>HYPERLINK("https://athena.uww.org/media/cache/person_default/uploads/images/referee-5274.jpg")</f>
        <v>0</v>
      </c>
      <c r="I950">
        <f>HYPERLINK("https://athena.uww.org/p/5274")</f>
        <v>0</v>
      </c>
    </row>
    <row r="951" spans="1:9">
      <c r="A951">
        <v>4990</v>
      </c>
      <c r="B951" t="s">
        <v>958</v>
      </c>
      <c r="C951" t="s">
        <v>1339</v>
      </c>
      <c r="D951" t="s">
        <v>1420</v>
      </c>
      <c r="E951" t="s">
        <v>1439</v>
      </c>
      <c r="F951" t="s">
        <v>2354</v>
      </c>
      <c r="G951" t="b">
        <v>0</v>
      </c>
      <c r="H951">
        <f>HYPERLINK("https://athena.uww.org/media/cache/person_default/uploads/images/referee-4990.jpg")</f>
        <v>0</v>
      </c>
      <c r="I951">
        <f>HYPERLINK("https://athena.uww.org/p/4990")</f>
        <v>0</v>
      </c>
    </row>
    <row r="952" spans="1:9">
      <c r="A952">
        <v>41787</v>
      </c>
      <c r="B952" t="s">
        <v>959</v>
      </c>
      <c r="C952" t="s">
        <v>1339</v>
      </c>
      <c r="D952" t="s">
        <v>1420</v>
      </c>
      <c r="E952" t="s">
        <v>1439</v>
      </c>
      <c r="F952" t="s">
        <v>2355</v>
      </c>
      <c r="G952" t="b">
        <v>0</v>
      </c>
      <c r="H952">
        <f>HYPERLINK("https://athena.uww.org/media/cache/person_default/uploads/images/crop/580f216e549fe.png")</f>
        <v>0</v>
      </c>
      <c r="I952">
        <f>HYPERLINK("https://athena.uww.org/p/41787")</f>
        <v>0</v>
      </c>
    </row>
    <row r="953" spans="1:9">
      <c r="A953">
        <v>4468</v>
      </c>
      <c r="B953" t="s">
        <v>960</v>
      </c>
      <c r="C953" t="s">
        <v>1339</v>
      </c>
      <c r="D953" t="s">
        <v>1420</v>
      </c>
      <c r="E953" t="s">
        <v>1439</v>
      </c>
      <c r="F953" t="s">
        <v>2022</v>
      </c>
      <c r="G953" t="b">
        <v>0</v>
      </c>
      <c r="H953">
        <f>HYPERLINK("https://athena.uww.org/media/cache/person_default/uploads/images/crop/58a2c4ab57bbd.png")</f>
        <v>0</v>
      </c>
      <c r="I953">
        <f>HYPERLINK("https://athena.uww.org/p/4468")</f>
        <v>0</v>
      </c>
    </row>
    <row r="954" spans="1:9">
      <c r="A954">
        <v>5265</v>
      </c>
      <c r="B954" t="s">
        <v>961</v>
      </c>
      <c r="C954" t="s">
        <v>1339</v>
      </c>
      <c r="D954" t="s">
        <v>1420</v>
      </c>
      <c r="E954" t="s">
        <v>1439</v>
      </c>
      <c r="F954" t="s">
        <v>2356</v>
      </c>
      <c r="G954" t="b">
        <v>0</v>
      </c>
      <c r="H954">
        <f>HYPERLINK("https://athena.uww.org/media/cache/person_default/uploads/images/referee-5265.jpg")</f>
        <v>0</v>
      </c>
      <c r="I954">
        <f>HYPERLINK("https://athena.uww.org/p/5265")</f>
        <v>0</v>
      </c>
    </row>
    <row r="955" spans="1:9">
      <c r="A955">
        <v>5276</v>
      </c>
      <c r="B955" t="s">
        <v>962</v>
      </c>
      <c r="C955" t="s">
        <v>1339</v>
      </c>
      <c r="D955" t="s">
        <v>1420</v>
      </c>
      <c r="E955" t="s">
        <v>1439</v>
      </c>
      <c r="F955" t="s">
        <v>2357</v>
      </c>
      <c r="G955" t="b">
        <v>0</v>
      </c>
      <c r="H955">
        <f>HYPERLINK("https://athena.uww.org/media/cache/person_default/uploads/images/referee-5276.jpg")</f>
        <v>0</v>
      </c>
      <c r="I955">
        <f>HYPERLINK("https://athena.uww.org/p/5276")</f>
        <v>0</v>
      </c>
    </row>
    <row r="956" spans="1:9">
      <c r="A956">
        <v>5363</v>
      </c>
      <c r="B956" t="s">
        <v>963</v>
      </c>
      <c r="C956" t="s">
        <v>1339</v>
      </c>
      <c r="D956" t="s">
        <v>1420</v>
      </c>
      <c r="E956" t="s">
        <v>1439</v>
      </c>
      <c r="F956" t="s">
        <v>2358</v>
      </c>
      <c r="G956" t="b">
        <v>0</v>
      </c>
      <c r="H956">
        <f>HYPERLINK("https://athena.uww.org/media/cache/person_default/uploads/images/referee-5363.jpg")</f>
        <v>0</v>
      </c>
      <c r="I956">
        <f>HYPERLINK("https://athena.uww.org/p/5363")</f>
        <v>0</v>
      </c>
    </row>
    <row r="957" spans="1:9">
      <c r="A957">
        <v>5381</v>
      </c>
      <c r="B957" t="s">
        <v>964</v>
      </c>
      <c r="C957" t="s">
        <v>1339</v>
      </c>
      <c r="D957" t="s">
        <v>1420</v>
      </c>
      <c r="E957" t="s">
        <v>1439</v>
      </c>
      <c r="F957" t="s">
        <v>2359</v>
      </c>
      <c r="G957" t="b">
        <v>1</v>
      </c>
      <c r="H957">
        <f>HYPERLINK("https://athena.uww.org/media/cache/person_default/uploads/images/referee-5381.jpg")</f>
        <v>0</v>
      </c>
      <c r="I957">
        <f>HYPERLINK("https://athena.uww.org/p/5381")</f>
        <v>0</v>
      </c>
    </row>
    <row r="958" spans="1:9">
      <c r="A958">
        <v>60351</v>
      </c>
      <c r="B958" t="s">
        <v>965</v>
      </c>
      <c r="C958" t="s">
        <v>1339</v>
      </c>
      <c r="D958" t="s">
        <v>1420</v>
      </c>
      <c r="E958" t="s">
        <v>1439</v>
      </c>
      <c r="F958" t="s">
        <v>2360</v>
      </c>
      <c r="G958" t="b">
        <v>0</v>
      </c>
      <c r="H958">
        <f>HYPERLINK("https://athena.uww.org/media/cache/person_default/uploads/images/66192e0b83483421246729.jpeg")</f>
        <v>0</v>
      </c>
      <c r="I958">
        <f>HYPERLINK("https://athena.uww.org/p/60351")</f>
        <v>0</v>
      </c>
    </row>
    <row r="959" spans="1:9">
      <c r="A959">
        <v>5523</v>
      </c>
      <c r="B959" t="s">
        <v>966</v>
      </c>
      <c r="C959" t="s">
        <v>1339</v>
      </c>
      <c r="D959" t="s">
        <v>1420</v>
      </c>
      <c r="E959" t="s">
        <v>1439</v>
      </c>
      <c r="F959" t="s">
        <v>2361</v>
      </c>
      <c r="G959" t="b">
        <v>0</v>
      </c>
      <c r="H959">
        <f>HYPERLINK("https://athena.uww.org/media/cache/person_default/uploads/images/referee-5523.jpg")</f>
        <v>0</v>
      </c>
      <c r="I959">
        <f>HYPERLINK("https://athena.uww.org/p/5523")</f>
        <v>0</v>
      </c>
    </row>
    <row r="960" spans="1:9">
      <c r="A960">
        <v>5187</v>
      </c>
      <c r="B960" t="s">
        <v>967</v>
      </c>
      <c r="C960" t="s">
        <v>1339</v>
      </c>
      <c r="D960" t="s">
        <v>1420</v>
      </c>
      <c r="E960" t="s">
        <v>1439</v>
      </c>
      <c r="F960" t="s">
        <v>2362</v>
      </c>
      <c r="G960" t="b">
        <v>0</v>
      </c>
      <c r="H960">
        <f>HYPERLINK("https://athena.uww.org/media/cache/person_default/uploads/images/567a456846a91.jpg")</f>
        <v>0</v>
      </c>
      <c r="I960">
        <f>HYPERLINK("https://athena.uww.org/p/5187")</f>
        <v>0</v>
      </c>
    </row>
    <row r="961" spans="1:9">
      <c r="A961">
        <v>74762</v>
      </c>
      <c r="B961" t="s">
        <v>968</v>
      </c>
      <c r="C961" t="s">
        <v>1339</v>
      </c>
      <c r="D961" t="s">
        <v>1420</v>
      </c>
      <c r="E961" t="s">
        <v>1439</v>
      </c>
      <c r="F961" t="s">
        <v>2363</v>
      </c>
      <c r="G961" t="b">
        <v>1</v>
      </c>
      <c r="H961">
        <f>HYPERLINK("https://athena.uww.org/media/cache/person_default/uploads/images/crop/607eb283b04fd250063295.png")</f>
        <v>0</v>
      </c>
      <c r="I961">
        <f>HYPERLINK("https://athena.uww.org/p/74762")</f>
        <v>0</v>
      </c>
    </row>
    <row r="962" spans="1:9">
      <c r="A962">
        <v>4744</v>
      </c>
      <c r="B962" t="s">
        <v>969</v>
      </c>
      <c r="C962" t="s">
        <v>1339</v>
      </c>
      <c r="D962" t="s">
        <v>1420</v>
      </c>
      <c r="E962" t="s">
        <v>1439</v>
      </c>
      <c r="F962" t="s">
        <v>2364</v>
      </c>
      <c r="G962" t="b">
        <v>0</v>
      </c>
      <c r="H962">
        <f>HYPERLINK("https://athena.uww.org/media/cache/person_default/uploads/images/referee-4744.jpg")</f>
        <v>0</v>
      </c>
      <c r="I962">
        <f>HYPERLINK("https://athena.uww.org/p/4744")</f>
        <v>0</v>
      </c>
    </row>
    <row r="963" spans="1:9">
      <c r="A963">
        <v>69</v>
      </c>
      <c r="B963" t="s">
        <v>970</v>
      </c>
      <c r="C963" t="s">
        <v>1339</v>
      </c>
      <c r="D963" t="s">
        <v>1420</v>
      </c>
      <c r="E963" t="s">
        <v>1439</v>
      </c>
      <c r="F963" t="s">
        <v>2365</v>
      </c>
      <c r="G963" t="b">
        <v>0</v>
      </c>
      <c r="H963">
        <f>HYPERLINK("https://athena.uww.org/media/cache/person_default/uploads/images/567a98640ef24.jpg")</f>
        <v>0</v>
      </c>
      <c r="I963">
        <f>HYPERLINK("https://athena.uww.org/p/69")</f>
        <v>0</v>
      </c>
    </row>
    <row r="964" spans="1:9">
      <c r="A964">
        <v>4653</v>
      </c>
      <c r="B964" t="s">
        <v>971</v>
      </c>
      <c r="C964" t="s">
        <v>1339</v>
      </c>
      <c r="D964" t="s">
        <v>1420</v>
      </c>
      <c r="E964" t="s">
        <v>1439</v>
      </c>
      <c r="F964" t="s">
        <v>2243</v>
      </c>
      <c r="G964" t="b">
        <v>0</v>
      </c>
      <c r="H964">
        <f>HYPERLINK("https://athena.uww.org/media/cache/person_default/uploads/images/referee-4653.jpg")</f>
        <v>0</v>
      </c>
      <c r="I964">
        <f>HYPERLINK("https://athena.uww.org/p/4653")</f>
        <v>0</v>
      </c>
    </row>
    <row r="965" spans="1:9">
      <c r="A965">
        <v>5361</v>
      </c>
      <c r="B965" t="s">
        <v>972</v>
      </c>
      <c r="C965" t="s">
        <v>1339</v>
      </c>
      <c r="D965" t="s">
        <v>1420</v>
      </c>
      <c r="E965" t="s">
        <v>1439</v>
      </c>
      <c r="F965" t="s">
        <v>2366</v>
      </c>
      <c r="G965" t="b">
        <v>0</v>
      </c>
      <c r="H965">
        <f>HYPERLINK("https://athena.uww.org/media/cache/person_default/uploads/images/referee-5361.jpg")</f>
        <v>0</v>
      </c>
      <c r="I965">
        <f>HYPERLINK("https://athena.uww.org/p/5361")</f>
        <v>0</v>
      </c>
    </row>
    <row r="966" spans="1:9">
      <c r="A966">
        <v>78176</v>
      </c>
      <c r="B966" t="s">
        <v>973</v>
      </c>
      <c r="C966" t="s">
        <v>1339</v>
      </c>
      <c r="D966" t="s">
        <v>1420</v>
      </c>
      <c r="E966" t="s">
        <v>1439</v>
      </c>
      <c r="F966" t="s">
        <v>2367</v>
      </c>
      <c r="G966" t="b">
        <v>1</v>
      </c>
      <c r="H966">
        <f>HYPERLINK("https://athena.uww.org/media/cache/person_default/uploads/images/crop/6134ed419a627011322223.png")</f>
        <v>0</v>
      </c>
      <c r="I966">
        <f>HYPERLINK("https://athena.uww.org/p/78176")</f>
        <v>0</v>
      </c>
    </row>
    <row r="967" spans="1:9">
      <c r="A967">
        <v>30580</v>
      </c>
      <c r="B967" t="s">
        <v>974</v>
      </c>
      <c r="C967" t="s">
        <v>1339</v>
      </c>
      <c r="D967" t="s">
        <v>1420</v>
      </c>
      <c r="E967" t="s">
        <v>1439</v>
      </c>
      <c r="F967" t="s">
        <v>2368</v>
      </c>
      <c r="G967" t="b">
        <v>1</v>
      </c>
      <c r="H967">
        <f>HYPERLINK("https://athena.uww.org/media/cache/person_default/uploads/images/1112061185001.jpeg")</f>
        <v>0</v>
      </c>
      <c r="I967">
        <f>HYPERLINK("https://athena.uww.org/p/30580")</f>
        <v>0</v>
      </c>
    </row>
    <row r="968" spans="1:9">
      <c r="A968">
        <v>5382</v>
      </c>
      <c r="B968" t="s">
        <v>975</v>
      </c>
      <c r="C968" t="s">
        <v>1339</v>
      </c>
      <c r="D968" t="s">
        <v>1420</v>
      </c>
      <c r="E968" t="s">
        <v>1439</v>
      </c>
      <c r="F968" t="s">
        <v>2369</v>
      </c>
      <c r="G968" t="b">
        <v>0</v>
      </c>
      <c r="H968">
        <f>HYPERLINK("https://athena.uww.org/media/cache/person_default/uploads/images/referee-5382.jpg")</f>
        <v>0</v>
      </c>
      <c r="I968">
        <f>HYPERLINK("https://athena.uww.org/p/5382")</f>
        <v>0</v>
      </c>
    </row>
    <row r="969" spans="1:9">
      <c r="A969">
        <v>5451</v>
      </c>
      <c r="B969" t="s">
        <v>976</v>
      </c>
      <c r="C969" t="s">
        <v>1339</v>
      </c>
      <c r="D969" t="s">
        <v>1420</v>
      </c>
      <c r="E969" t="s">
        <v>1439</v>
      </c>
      <c r="F969" t="s">
        <v>2370</v>
      </c>
      <c r="G969" t="b">
        <v>0</v>
      </c>
      <c r="H969">
        <f>HYPERLINK("https://athena.uww.org/media/cache/person_default/uploads/images/referee-5451.jpg")</f>
        <v>0</v>
      </c>
      <c r="I969">
        <f>HYPERLINK("https://athena.uww.org/p/5451")</f>
        <v>0</v>
      </c>
    </row>
    <row r="970" spans="1:9">
      <c r="A970">
        <v>5210</v>
      </c>
      <c r="B970" t="s">
        <v>977</v>
      </c>
      <c r="C970" t="s">
        <v>1339</v>
      </c>
      <c r="D970" t="s">
        <v>1420</v>
      </c>
      <c r="E970" t="s">
        <v>1439</v>
      </c>
      <c r="F970" t="s">
        <v>1452</v>
      </c>
      <c r="G970" t="b">
        <v>0</v>
      </c>
      <c r="H970">
        <f>HYPERLINK("https://athena.uww.org/media/cache/person_default/uploads/images/crop/617985393d45b807323886.png")</f>
        <v>0</v>
      </c>
      <c r="I970">
        <f>HYPERLINK("https://athena.uww.org/p/5210")</f>
        <v>0</v>
      </c>
    </row>
    <row r="971" spans="1:9">
      <c r="A971">
        <v>4469</v>
      </c>
      <c r="B971" t="s">
        <v>978</v>
      </c>
      <c r="C971" t="s">
        <v>1339</v>
      </c>
      <c r="D971" t="s">
        <v>1420</v>
      </c>
      <c r="E971" t="s">
        <v>1439</v>
      </c>
      <c r="F971" t="s">
        <v>2371</v>
      </c>
      <c r="G971" t="b">
        <v>0</v>
      </c>
      <c r="H971">
        <f>HYPERLINK("https://athena.uww.org/media/cache/person_default/uploads/images/56cd8cb1ac200.jpg")</f>
        <v>0</v>
      </c>
      <c r="I971">
        <f>HYPERLINK("https://athena.uww.org/p/4469")</f>
        <v>0</v>
      </c>
    </row>
    <row r="972" spans="1:9">
      <c r="A972">
        <v>41788</v>
      </c>
      <c r="B972" t="s">
        <v>979</v>
      </c>
      <c r="C972" t="s">
        <v>1339</v>
      </c>
      <c r="D972" t="s">
        <v>1420</v>
      </c>
      <c r="E972" t="s">
        <v>1439</v>
      </c>
      <c r="F972" t="s">
        <v>1984</v>
      </c>
      <c r="G972" t="b">
        <v>1</v>
      </c>
      <c r="H972">
        <f>HYPERLINK("https://athena.uww.org/media/cache/person_default/uploads/images/crop/580f2377309a3.png")</f>
        <v>0</v>
      </c>
      <c r="I972">
        <f>HYPERLINK("https://athena.uww.org/p/41788")</f>
        <v>0</v>
      </c>
    </row>
    <row r="973" spans="1:9">
      <c r="A973">
        <v>55883</v>
      </c>
      <c r="B973" t="s">
        <v>980</v>
      </c>
      <c r="C973" t="s">
        <v>1339</v>
      </c>
      <c r="D973" t="s">
        <v>1420</v>
      </c>
      <c r="E973" t="s">
        <v>1442</v>
      </c>
      <c r="F973" t="s">
        <v>2372</v>
      </c>
      <c r="G973" t="b">
        <v>1</v>
      </c>
      <c r="H973">
        <f>HYPERLINK("https://athena.uww.org/media/cache/person_default/uploads/images/crop/6866b1114a4d7032888083.png")</f>
        <v>0</v>
      </c>
      <c r="I973">
        <f>HYPERLINK("https://athena.uww.org/p/55883")</f>
        <v>0</v>
      </c>
    </row>
    <row r="974" spans="1:9">
      <c r="A974">
        <v>5561</v>
      </c>
      <c r="B974" t="s">
        <v>981</v>
      </c>
      <c r="C974" t="s">
        <v>1339</v>
      </c>
      <c r="D974" t="s">
        <v>1420</v>
      </c>
      <c r="E974" t="s">
        <v>1442</v>
      </c>
      <c r="F974" t="s">
        <v>2373</v>
      </c>
      <c r="G974" t="b">
        <v>0</v>
      </c>
      <c r="H974">
        <f>HYPERLINK("https://athena.uww.org/media/cache/person_default/uploads/images/referee-5561.jpg")</f>
        <v>0</v>
      </c>
      <c r="I974">
        <f>HYPERLINK("https://athena.uww.org/p/5561")</f>
        <v>0</v>
      </c>
    </row>
    <row r="975" spans="1:9">
      <c r="A975">
        <v>5482</v>
      </c>
      <c r="B975" t="s">
        <v>982</v>
      </c>
      <c r="C975" t="s">
        <v>1339</v>
      </c>
      <c r="D975" t="s">
        <v>1420</v>
      </c>
      <c r="E975" t="s">
        <v>1442</v>
      </c>
      <c r="F975" t="s">
        <v>2374</v>
      </c>
      <c r="G975" t="b">
        <v>0</v>
      </c>
      <c r="H975">
        <f>HYPERLINK("https://athena.uww.org/media/cache/person_default/uploads/images/referee-5482.jpg")</f>
        <v>0</v>
      </c>
      <c r="I975">
        <f>HYPERLINK("https://athena.uww.org/p/5482")</f>
        <v>0</v>
      </c>
    </row>
    <row r="976" spans="1:9">
      <c r="A976">
        <v>55881</v>
      </c>
      <c r="B976" t="s">
        <v>983</v>
      </c>
      <c r="C976" t="s">
        <v>1339</v>
      </c>
      <c r="D976" t="s">
        <v>1420</v>
      </c>
      <c r="E976" t="s">
        <v>1442</v>
      </c>
      <c r="F976" t="s">
        <v>2375</v>
      </c>
      <c r="G976" t="b">
        <v>1</v>
      </c>
      <c r="H976">
        <f>HYPERLINK("https://athena.uww.org/media/cache/person_default/uploads/images/crop/5b75625ea9c82.png")</f>
        <v>0</v>
      </c>
      <c r="I976">
        <f>HYPERLINK("https://athena.uww.org/p/55881")</f>
        <v>0</v>
      </c>
    </row>
    <row r="977" spans="1:9">
      <c r="A977">
        <v>103453</v>
      </c>
      <c r="B977" t="s">
        <v>984</v>
      </c>
      <c r="C977" t="s">
        <v>1339</v>
      </c>
      <c r="D977" t="s">
        <v>1420</v>
      </c>
      <c r="E977" t="s">
        <v>1442</v>
      </c>
      <c r="F977" t="s">
        <v>2376</v>
      </c>
      <c r="G977" t="b">
        <v>0</v>
      </c>
      <c r="H977">
        <f>HYPERLINK("https://athena.uww.org/media/cache/person_default/uploads/images/crop/66e134059ac20727927496.png")</f>
        <v>0</v>
      </c>
      <c r="I977">
        <f>HYPERLINK("https://athena.uww.org/p/103453")</f>
        <v>0</v>
      </c>
    </row>
    <row r="978" spans="1:9">
      <c r="A978">
        <v>5480</v>
      </c>
      <c r="B978" t="s">
        <v>985</v>
      </c>
      <c r="C978" t="s">
        <v>1339</v>
      </c>
      <c r="D978" t="s">
        <v>1420</v>
      </c>
      <c r="E978" t="s">
        <v>1442</v>
      </c>
      <c r="F978" t="s">
        <v>2377</v>
      </c>
      <c r="G978" t="b">
        <v>0</v>
      </c>
      <c r="H978">
        <f>HYPERLINK("https://athena.uww.org/media/cache/person_default/uploads/images/referee-5480.jpg")</f>
        <v>0</v>
      </c>
      <c r="I978">
        <f>HYPERLINK("https://athena.uww.org/p/5480")</f>
        <v>0</v>
      </c>
    </row>
    <row r="979" spans="1:9">
      <c r="A979">
        <v>55884</v>
      </c>
      <c r="B979" t="s">
        <v>986</v>
      </c>
      <c r="C979" t="s">
        <v>1339</v>
      </c>
      <c r="D979" t="s">
        <v>1420</v>
      </c>
      <c r="E979" t="s">
        <v>1442</v>
      </c>
      <c r="F979" t="s">
        <v>2378</v>
      </c>
      <c r="G979" t="b">
        <v>0</v>
      </c>
      <c r="H979">
        <f>HYPERLINK("https://athena.uww.org/media/cache/person_default/uploads/images/crop/5ad87c4b06edc.png")</f>
        <v>0</v>
      </c>
      <c r="I979">
        <f>HYPERLINK("https://athena.uww.org/p/55884")</f>
        <v>0</v>
      </c>
    </row>
    <row r="980" spans="1:9">
      <c r="A980">
        <v>5560</v>
      </c>
      <c r="B980" t="s">
        <v>987</v>
      </c>
      <c r="C980" t="s">
        <v>1339</v>
      </c>
      <c r="D980" t="s">
        <v>1420</v>
      </c>
      <c r="E980" t="s">
        <v>1442</v>
      </c>
      <c r="F980" t="s">
        <v>2379</v>
      </c>
      <c r="G980" t="b">
        <v>0</v>
      </c>
      <c r="H980">
        <f>HYPERLINK("https://athena.uww.org/media/cache/person_default/uploads/images/56d93e2e8bb78.jpg")</f>
        <v>0</v>
      </c>
      <c r="I980">
        <f>HYPERLINK("https://athena.uww.org/p/5560")</f>
        <v>0</v>
      </c>
    </row>
    <row r="981" spans="1:9">
      <c r="A981">
        <v>5524</v>
      </c>
      <c r="B981" t="s">
        <v>988</v>
      </c>
      <c r="C981" t="s">
        <v>1339</v>
      </c>
      <c r="D981" t="s">
        <v>1420</v>
      </c>
      <c r="E981" t="s">
        <v>1442</v>
      </c>
      <c r="F981" t="s">
        <v>2380</v>
      </c>
      <c r="G981" t="b">
        <v>0</v>
      </c>
      <c r="H981">
        <f>HYPERLINK("https://athena.uww.org/media/cache/person_default/uploads/images/referee-5524.jpg")</f>
        <v>0</v>
      </c>
      <c r="I981">
        <f>HYPERLINK("https://athena.uww.org/p/5524")</f>
        <v>0</v>
      </c>
    </row>
    <row r="982" spans="1:9">
      <c r="A982">
        <v>77781</v>
      </c>
      <c r="B982" t="s">
        <v>989</v>
      </c>
      <c r="C982" t="s">
        <v>1339</v>
      </c>
      <c r="D982" t="s">
        <v>1420</v>
      </c>
      <c r="E982" t="s">
        <v>1442</v>
      </c>
      <c r="F982" t="s">
        <v>2015</v>
      </c>
      <c r="G982" t="b">
        <v>0</v>
      </c>
      <c r="H982">
        <f>HYPERLINK("https://athena.uww.org/media/cache/person_default/uploads/images/crop/61325f6ac0faa843025599.png")</f>
        <v>0</v>
      </c>
      <c r="I982">
        <f>HYPERLINK("https://athena.uww.org/p/77781")</f>
        <v>0</v>
      </c>
    </row>
    <row r="983" spans="1:9">
      <c r="A983">
        <v>5481</v>
      </c>
      <c r="B983" t="s">
        <v>990</v>
      </c>
      <c r="C983" t="s">
        <v>1339</v>
      </c>
      <c r="D983" t="s">
        <v>1420</v>
      </c>
      <c r="E983" t="s">
        <v>1442</v>
      </c>
      <c r="F983" t="s">
        <v>2381</v>
      </c>
      <c r="G983" t="b">
        <v>0</v>
      </c>
      <c r="H983">
        <f>HYPERLINK("https://athena.uww.org/media/cache/person_default/uploads/images/referee-5481.jpg")</f>
        <v>0</v>
      </c>
      <c r="I983">
        <f>HYPERLINK("https://athena.uww.org/p/5481")</f>
        <v>0</v>
      </c>
    </row>
    <row r="984" spans="1:9">
      <c r="A984">
        <v>55885</v>
      </c>
      <c r="B984" t="s">
        <v>991</v>
      </c>
      <c r="C984" t="s">
        <v>1339</v>
      </c>
      <c r="D984" t="s">
        <v>1420</v>
      </c>
      <c r="E984" t="s">
        <v>1442</v>
      </c>
      <c r="F984" t="s">
        <v>2382</v>
      </c>
      <c r="G984" t="b">
        <v>0</v>
      </c>
      <c r="H984">
        <f>HYPERLINK("https://athena.uww.org/media/cache/person_default/uploads/images/crop/5ad87d1edbf9a.png")</f>
        <v>0</v>
      </c>
      <c r="I984">
        <f>HYPERLINK("https://athena.uww.org/p/55885")</f>
        <v>0</v>
      </c>
    </row>
    <row r="985" spans="1:9">
      <c r="A985">
        <v>4742</v>
      </c>
      <c r="B985" t="s">
        <v>992</v>
      </c>
      <c r="C985" t="s">
        <v>1339</v>
      </c>
      <c r="D985" t="s">
        <v>1420</v>
      </c>
      <c r="E985" t="s">
        <v>1442</v>
      </c>
      <c r="F985" t="s">
        <v>2383</v>
      </c>
      <c r="G985" t="b">
        <v>0</v>
      </c>
      <c r="H985">
        <f>HYPERLINK("https://athena.uww.org/media/cache/person_default/uploads/images/56783d5dc5e6f.jpg")</f>
        <v>0</v>
      </c>
      <c r="I985">
        <f>HYPERLINK("https://athena.uww.org/p/4742")</f>
        <v>0</v>
      </c>
    </row>
    <row r="986" spans="1:9">
      <c r="A986">
        <v>4967</v>
      </c>
      <c r="B986" t="s">
        <v>993</v>
      </c>
      <c r="C986" t="s">
        <v>1339</v>
      </c>
      <c r="D986" t="s">
        <v>1420</v>
      </c>
      <c r="E986" t="s">
        <v>1442</v>
      </c>
      <c r="F986" t="s">
        <v>2384</v>
      </c>
      <c r="G986" t="b">
        <v>1</v>
      </c>
      <c r="H986">
        <f>HYPERLINK("https://athena.uww.org/media/cache/person_default/uploads/images/referee-4967.jpg")</f>
        <v>0</v>
      </c>
      <c r="I986">
        <f>HYPERLINK("https://athena.uww.org/p/4967")</f>
        <v>0</v>
      </c>
    </row>
    <row r="987" spans="1:9">
      <c r="A987">
        <v>4743</v>
      </c>
      <c r="B987" t="s">
        <v>994</v>
      </c>
      <c r="C987" t="s">
        <v>1339</v>
      </c>
      <c r="D987" t="s">
        <v>1420</v>
      </c>
      <c r="E987" t="s">
        <v>1442</v>
      </c>
      <c r="F987" t="s">
        <v>1559</v>
      </c>
      <c r="G987" t="b">
        <v>0</v>
      </c>
      <c r="H987">
        <f>HYPERLINK("https://athena.uww.org/media/cache/person_default/uploads/images/5677c0ffad3ac.jpg")</f>
        <v>0</v>
      </c>
      <c r="I987">
        <f>HYPERLINK("https://athena.uww.org/p/4743")</f>
        <v>0</v>
      </c>
    </row>
    <row r="988" spans="1:9">
      <c r="A988">
        <v>4271</v>
      </c>
      <c r="B988" t="s">
        <v>995</v>
      </c>
      <c r="C988" t="s">
        <v>1339</v>
      </c>
      <c r="D988" t="s">
        <v>1420</v>
      </c>
      <c r="E988" t="s">
        <v>1442</v>
      </c>
      <c r="F988" t="s">
        <v>2331</v>
      </c>
      <c r="G988" t="b">
        <v>0</v>
      </c>
      <c r="H988">
        <f>HYPERLINK("https://athena.uww.org/media/cache/person_default/uploads/images/56cd99a250a72.jpg")</f>
        <v>0</v>
      </c>
      <c r="I988">
        <f>HYPERLINK("https://athena.uww.org/p/4271")</f>
        <v>0</v>
      </c>
    </row>
    <row r="989" spans="1:9">
      <c r="A989">
        <v>5362</v>
      </c>
      <c r="B989" t="s">
        <v>996</v>
      </c>
      <c r="C989" t="s">
        <v>1339</v>
      </c>
      <c r="D989" t="s">
        <v>1420</v>
      </c>
      <c r="E989" t="s">
        <v>1442</v>
      </c>
      <c r="F989" t="s">
        <v>2000</v>
      </c>
      <c r="G989" t="b">
        <v>0</v>
      </c>
      <c r="H989">
        <f>HYPERLINK("https://athena.uww.org/media/cache/person_default/uploads/images/56cd9afd3d49d.jpg")</f>
        <v>0</v>
      </c>
      <c r="I989">
        <f>HYPERLINK("https://athena.uww.org/p/5362")</f>
        <v>0</v>
      </c>
    </row>
    <row r="990" spans="1:9">
      <c r="A990">
        <v>103443</v>
      </c>
      <c r="B990" t="s">
        <v>997</v>
      </c>
      <c r="C990" t="s">
        <v>1339</v>
      </c>
      <c r="D990" t="s">
        <v>1420</v>
      </c>
      <c r="E990" t="s">
        <v>1442</v>
      </c>
      <c r="F990" t="s">
        <v>2385</v>
      </c>
      <c r="G990" t="b">
        <v>0</v>
      </c>
      <c r="H990">
        <f>HYPERLINK("https://athena.uww.org/media/cache/person_default/uploads/images/crop/66e134c1ae4e8444646578.png")</f>
        <v>0</v>
      </c>
      <c r="I990">
        <f>HYPERLINK("https://athena.uww.org/p/103443")</f>
        <v>0</v>
      </c>
    </row>
    <row r="991" spans="1:9">
      <c r="A991">
        <v>60037</v>
      </c>
      <c r="B991" t="s">
        <v>998</v>
      </c>
      <c r="C991" t="s">
        <v>1339</v>
      </c>
      <c r="D991" t="s">
        <v>1420</v>
      </c>
      <c r="E991" t="s">
        <v>1442</v>
      </c>
      <c r="F991" t="s">
        <v>2386</v>
      </c>
      <c r="G991" t="b">
        <v>0</v>
      </c>
      <c r="H991">
        <f>HYPERLINK("https://athena.uww.org/media/cache/person_default/uploads/images/crop/5b7563ebd37cd.png")</f>
        <v>0</v>
      </c>
      <c r="I991">
        <f>HYPERLINK("https://athena.uww.org/p/60037")</f>
        <v>0</v>
      </c>
    </row>
    <row r="992" spans="1:9">
      <c r="A992">
        <v>5528</v>
      </c>
      <c r="B992" t="s">
        <v>999</v>
      </c>
      <c r="C992" t="s">
        <v>1339</v>
      </c>
      <c r="D992" t="s">
        <v>1420</v>
      </c>
      <c r="E992" t="s">
        <v>1442</v>
      </c>
      <c r="F992" t="s">
        <v>2387</v>
      </c>
      <c r="G992" t="b">
        <v>0</v>
      </c>
      <c r="H992">
        <f>HYPERLINK("https://athena.uww.org/media/cache/person_default/uploads/images/referee-5528.jpg")</f>
        <v>0</v>
      </c>
      <c r="I992">
        <f>HYPERLINK("https://athena.uww.org/p/5528")</f>
        <v>0</v>
      </c>
    </row>
    <row r="993" spans="1:9">
      <c r="A993">
        <v>60061</v>
      </c>
      <c r="B993" t="s">
        <v>1000</v>
      </c>
      <c r="C993" t="s">
        <v>1339</v>
      </c>
      <c r="D993" t="s">
        <v>1420</v>
      </c>
      <c r="E993" t="s">
        <v>1442</v>
      </c>
      <c r="F993" t="s">
        <v>2388</v>
      </c>
      <c r="G993" t="b">
        <v>0</v>
      </c>
      <c r="H993">
        <f>HYPERLINK("https://athena.uww.org/media/cache/person_default/uploads/images/crop/5b76c630dfe4b.png")</f>
        <v>0</v>
      </c>
      <c r="I993">
        <f>HYPERLINK("https://athena.uww.org/p/60061")</f>
        <v>0</v>
      </c>
    </row>
    <row r="994" spans="1:9">
      <c r="A994">
        <v>4396</v>
      </c>
      <c r="B994" t="s">
        <v>1001</v>
      </c>
      <c r="C994" t="s">
        <v>1339</v>
      </c>
      <c r="D994" t="s">
        <v>1420</v>
      </c>
      <c r="E994" t="s">
        <v>1442</v>
      </c>
      <c r="F994" t="s">
        <v>2389</v>
      </c>
      <c r="G994" t="b">
        <v>0</v>
      </c>
      <c r="H994">
        <f>HYPERLINK("https://athena.uww.org/media/cache/person_default/uploads/images/referee-4396.jpg")</f>
        <v>0</v>
      </c>
      <c r="I994">
        <f>HYPERLINK("https://athena.uww.org/p/4396")</f>
        <v>0</v>
      </c>
    </row>
    <row r="995" spans="1:9">
      <c r="A995">
        <v>4692</v>
      </c>
      <c r="B995" t="s">
        <v>1002</v>
      </c>
      <c r="C995" t="s">
        <v>1339</v>
      </c>
      <c r="D995" t="s">
        <v>1420</v>
      </c>
      <c r="E995" t="s">
        <v>1442</v>
      </c>
      <c r="F995" t="s">
        <v>2390</v>
      </c>
      <c r="G995" t="b">
        <v>0</v>
      </c>
      <c r="H995">
        <f>HYPERLINK("https://athena.uww.org/media/cache/person_default/uploads/images/referee-4892.jpg")</f>
        <v>0</v>
      </c>
      <c r="I995">
        <f>HYPERLINK("https://athena.uww.org/p/4692")</f>
        <v>0</v>
      </c>
    </row>
    <row r="996" spans="1:9">
      <c r="A996">
        <v>77005</v>
      </c>
      <c r="B996" t="s">
        <v>1003</v>
      </c>
      <c r="C996" t="s">
        <v>1339</v>
      </c>
      <c r="D996" t="s">
        <v>1420</v>
      </c>
      <c r="E996" t="s">
        <v>1442</v>
      </c>
      <c r="F996" t="s">
        <v>2391</v>
      </c>
      <c r="G996" t="b">
        <v>0</v>
      </c>
      <c r="H996">
        <f>HYPERLINK("https://athena.uww.org/media/cache/person_default/uploads/images/crop/6131d5e0bb5b7232043861.png")</f>
        <v>0</v>
      </c>
      <c r="I996">
        <f>HYPERLINK("https://athena.uww.org/p/77005")</f>
        <v>0</v>
      </c>
    </row>
    <row r="997" spans="1:9">
      <c r="A997">
        <v>11198</v>
      </c>
      <c r="B997" t="s">
        <v>1004</v>
      </c>
      <c r="C997" t="s">
        <v>1339</v>
      </c>
      <c r="D997" t="s">
        <v>1420</v>
      </c>
      <c r="E997" t="s">
        <v>1442</v>
      </c>
      <c r="F997" t="s">
        <v>2392</v>
      </c>
      <c r="G997" t="b">
        <v>1</v>
      </c>
      <c r="H997">
        <f>HYPERLINK("https://athena.uww.org/media/cache/person_default/uploads/images/crop/68494f7458bc8865027906.png")</f>
        <v>0</v>
      </c>
      <c r="I997">
        <f>HYPERLINK("https://athena.uww.org/p/11198")</f>
        <v>0</v>
      </c>
    </row>
    <row r="998" spans="1:9">
      <c r="A998">
        <v>5522</v>
      </c>
      <c r="B998" t="s">
        <v>1005</v>
      </c>
      <c r="C998" t="s">
        <v>1339</v>
      </c>
      <c r="D998" t="s">
        <v>1420</v>
      </c>
      <c r="E998" t="s">
        <v>1442</v>
      </c>
      <c r="F998" t="s">
        <v>2393</v>
      </c>
      <c r="G998" t="b">
        <v>0</v>
      </c>
      <c r="H998">
        <f>HYPERLINK("https://athena.uww.org/media/cache/person_default/uploads/images/crop/5c8678c3e0aae440448647.png")</f>
        <v>0</v>
      </c>
      <c r="I998">
        <f>HYPERLINK("https://athena.uww.org/p/5522")</f>
        <v>0</v>
      </c>
    </row>
    <row r="999" spans="1:9">
      <c r="A999">
        <v>19100</v>
      </c>
      <c r="B999" t="s">
        <v>1006</v>
      </c>
      <c r="C999" t="s">
        <v>1339</v>
      </c>
      <c r="D999" t="s">
        <v>1420</v>
      </c>
      <c r="E999" t="s">
        <v>1442</v>
      </c>
      <c r="F999" t="s">
        <v>2394</v>
      </c>
      <c r="G999" t="b">
        <v>0</v>
      </c>
      <c r="H999">
        <f>HYPERLINK("https://athena.uww.org/media/cache/person_default/uploads/images/crop/5b7574abe9689.png")</f>
        <v>0</v>
      </c>
      <c r="I999">
        <f>HYPERLINK("https://athena.uww.org/p/19100")</f>
        <v>0</v>
      </c>
    </row>
    <row r="1000" spans="1:9">
      <c r="A1000">
        <v>74761</v>
      </c>
      <c r="B1000" t="s">
        <v>1007</v>
      </c>
      <c r="C1000" t="s">
        <v>1340</v>
      </c>
      <c r="D1000" t="s">
        <v>1420</v>
      </c>
      <c r="E1000" t="s">
        <v>1442</v>
      </c>
      <c r="F1000" t="s">
        <v>2395</v>
      </c>
      <c r="G1000" t="b">
        <v>0</v>
      </c>
      <c r="H1000">
        <f>HYPERLINK("https://athena.uww.org/media/cache/person_default/uploads/images/crop/607eb2e17da0b623325203.png")</f>
        <v>0</v>
      </c>
      <c r="I1000">
        <f>HYPERLINK("https://athena.uww.org/p/74761")</f>
        <v>0</v>
      </c>
    </row>
    <row r="1001" spans="1:9">
      <c r="A1001">
        <v>58901</v>
      </c>
      <c r="B1001" t="s">
        <v>1008</v>
      </c>
      <c r="C1001" t="s">
        <v>1339</v>
      </c>
      <c r="D1001" t="s">
        <v>1420</v>
      </c>
      <c r="E1001" t="s">
        <v>1442</v>
      </c>
      <c r="F1001" t="s">
        <v>2396</v>
      </c>
      <c r="G1001" t="b">
        <v>0</v>
      </c>
      <c r="H1001">
        <f>HYPERLINK("https://athena.uww.org/media/cache/person_default/uploads/images/crop/5b194a22cdcc3.png")</f>
        <v>0</v>
      </c>
      <c r="I1001">
        <f>HYPERLINK("https://athena.uww.org/p/58901")</f>
        <v>0</v>
      </c>
    </row>
    <row r="1002" spans="1:9">
      <c r="A1002">
        <v>5479</v>
      </c>
      <c r="B1002" t="s">
        <v>1009</v>
      </c>
      <c r="C1002" t="s">
        <v>1339</v>
      </c>
      <c r="D1002" t="s">
        <v>1420</v>
      </c>
      <c r="E1002" t="s">
        <v>1442</v>
      </c>
      <c r="F1002" t="s">
        <v>2397</v>
      </c>
      <c r="G1002" t="b">
        <v>0</v>
      </c>
      <c r="H1002">
        <f>HYPERLINK("https://athena.uww.org/media/cache/person_default/uploads/images/referee-5479.jpg")</f>
        <v>0</v>
      </c>
      <c r="I1002">
        <f>HYPERLINK("https://athena.uww.org/p/5479")</f>
        <v>0</v>
      </c>
    </row>
    <row r="1003" spans="1:9">
      <c r="A1003">
        <v>78328</v>
      </c>
      <c r="B1003" t="s">
        <v>1010</v>
      </c>
      <c r="C1003" t="s">
        <v>1339</v>
      </c>
      <c r="D1003" t="s">
        <v>1420</v>
      </c>
      <c r="E1003" t="s">
        <v>1442</v>
      </c>
      <c r="F1003" t="s">
        <v>2398</v>
      </c>
      <c r="G1003" t="b">
        <v>0</v>
      </c>
      <c r="H1003">
        <f>HYPERLINK("https://athena.uww.org/media/cache/person_default/uploads/images/61385ee8e2d9e068979101.png")</f>
        <v>0</v>
      </c>
      <c r="I1003">
        <f>HYPERLINK("https://athena.uww.org/p/78328")</f>
        <v>0</v>
      </c>
    </row>
    <row r="1004" spans="1:9">
      <c r="A1004">
        <v>5173</v>
      </c>
      <c r="B1004" t="s">
        <v>1011</v>
      </c>
      <c r="C1004" t="s">
        <v>1339</v>
      </c>
      <c r="D1004" t="s">
        <v>1420</v>
      </c>
      <c r="E1004" t="s">
        <v>1442</v>
      </c>
      <c r="F1004" t="s">
        <v>2399</v>
      </c>
      <c r="G1004" t="b">
        <v>0</v>
      </c>
      <c r="H1004">
        <f>HYPERLINK("https://athena.uww.org/media/cache/person_default/uploads/images/referee-5173.jpg")</f>
        <v>0</v>
      </c>
      <c r="I1004">
        <f>HYPERLINK("https://athena.uww.org/p/5173")</f>
        <v>0</v>
      </c>
    </row>
    <row r="1005" spans="1:9">
      <c r="A1005">
        <v>58899</v>
      </c>
      <c r="B1005" t="s">
        <v>1012</v>
      </c>
      <c r="C1005" t="s">
        <v>1339</v>
      </c>
      <c r="D1005" t="s">
        <v>1420</v>
      </c>
      <c r="E1005" t="s">
        <v>1442</v>
      </c>
      <c r="F1005" t="s">
        <v>2400</v>
      </c>
      <c r="G1005" t="b">
        <v>0</v>
      </c>
      <c r="H1005">
        <f>HYPERLINK("https://athena.uww.org/media/cache/person_default/uploads/images/crop/5b194a5323cc4.png")</f>
        <v>0</v>
      </c>
      <c r="I1005">
        <f>HYPERLINK("https://athena.uww.org/p/58899")</f>
        <v>0</v>
      </c>
    </row>
    <row r="1006" spans="1:9">
      <c r="A1006">
        <v>5450</v>
      </c>
      <c r="B1006" t="s">
        <v>1013</v>
      </c>
      <c r="C1006" t="s">
        <v>1339</v>
      </c>
      <c r="D1006" t="s">
        <v>1420</v>
      </c>
      <c r="E1006" t="s">
        <v>1442</v>
      </c>
      <c r="F1006" t="s">
        <v>2401</v>
      </c>
      <c r="G1006" t="b">
        <v>0</v>
      </c>
      <c r="H1006">
        <f>HYPERLINK("https://athena.uww.org/media/cache/person_default/uploads/images/referee-5450.jpg")</f>
        <v>0</v>
      </c>
      <c r="I1006">
        <f>HYPERLINK("https://athena.uww.org/p/5450")</f>
        <v>0</v>
      </c>
    </row>
    <row r="1007" spans="1:9">
      <c r="A1007">
        <v>4984</v>
      </c>
      <c r="B1007" t="s">
        <v>1014</v>
      </c>
      <c r="C1007" t="s">
        <v>1339</v>
      </c>
      <c r="D1007" t="s">
        <v>1420</v>
      </c>
      <c r="E1007" t="s">
        <v>1442</v>
      </c>
      <c r="F1007" t="s">
        <v>2402</v>
      </c>
      <c r="G1007" t="b">
        <v>0</v>
      </c>
      <c r="H1007">
        <f>HYPERLINK("https://athena.uww.org/media/cache/person_default/uploads/images/56cd9a095702f.jpg")</f>
        <v>0</v>
      </c>
      <c r="I1007">
        <f>HYPERLINK("https://athena.uww.org/p/4984")</f>
        <v>0</v>
      </c>
    </row>
    <row r="1008" spans="1:9">
      <c r="A1008">
        <v>4968</v>
      </c>
      <c r="B1008" t="s">
        <v>1015</v>
      </c>
      <c r="C1008" t="s">
        <v>1339</v>
      </c>
      <c r="D1008" t="s">
        <v>1420</v>
      </c>
      <c r="E1008" t="s">
        <v>1442</v>
      </c>
      <c r="F1008" t="s">
        <v>2403</v>
      </c>
      <c r="G1008" t="b">
        <v>0</v>
      </c>
      <c r="H1008">
        <f>HYPERLINK("https://athena.uww.org/media/cache/person_default/uploads/images/referee-4968.jpg")</f>
        <v>0</v>
      </c>
      <c r="I1008">
        <f>HYPERLINK("https://athena.uww.org/p/4968")</f>
        <v>0</v>
      </c>
    </row>
    <row r="1009" spans="1:9">
      <c r="A1009">
        <v>95670</v>
      </c>
      <c r="B1009" t="s">
        <v>1016</v>
      </c>
      <c r="C1009" t="s">
        <v>1339</v>
      </c>
      <c r="D1009" t="s">
        <v>1420</v>
      </c>
      <c r="E1009" t="s">
        <v>1442</v>
      </c>
      <c r="F1009" t="s">
        <v>2213</v>
      </c>
      <c r="G1009" t="b">
        <v>0</v>
      </c>
      <c r="H1009">
        <f>HYPERLINK("https://athena.uww.org/media/cache/person_default/uploads/images/crop/651bc27135787707868749.png")</f>
        <v>0</v>
      </c>
      <c r="I1009">
        <f>HYPERLINK("https://athena.uww.org/p/95670")</f>
        <v>0</v>
      </c>
    </row>
    <row r="1010" spans="1:9">
      <c r="A1010">
        <v>110513</v>
      </c>
      <c r="B1010" t="s">
        <v>1017</v>
      </c>
      <c r="C1010" t="s">
        <v>1339</v>
      </c>
      <c r="D1010" t="s">
        <v>1420</v>
      </c>
      <c r="E1010" t="s">
        <v>1442</v>
      </c>
      <c r="F1010" t="s">
        <v>2404</v>
      </c>
      <c r="G1010" t="b">
        <v>1</v>
      </c>
      <c r="H1010">
        <f>HYPERLINK("https://athena.uww.org/media/cache/person_default/uploads/images/crop/68b00f6f202b3131863755.png")</f>
        <v>0</v>
      </c>
      <c r="I1010">
        <f>HYPERLINK("https://athena.uww.org/p/110513")</f>
        <v>0</v>
      </c>
    </row>
    <row r="1011" spans="1:9">
      <c r="A1011">
        <v>5209</v>
      </c>
      <c r="B1011" t="s">
        <v>1018</v>
      </c>
      <c r="C1011" t="s">
        <v>1339</v>
      </c>
      <c r="D1011" t="s">
        <v>1420</v>
      </c>
      <c r="E1011" t="s">
        <v>1442</v>
      </c>
      <c r="F1011" t="s">
        <v>2405</v>
      </c>
      <c r="G1011" t="b">
        <v>0</v>
      </c>
      <c r="H1011">
        <f>HYPERLINK("https://athena.uww.org/media/cache/person_default/uploads/images/referee-5209.jpg")</f>
        <v>0</v>
      </c>
      <c r="I1011">
        <f>HYPERLINK("https://athena.uww.org/p/5209")</f>
        <v>0</v>
      </c>
    </row>
    <row r="1012" spans="1:9">
      <c r="A1012">
        <v>42</v>
      </c>
      <c r="B1012" t="s">
        <v>1019</v>
      </c>
      <c r="C1012" t="s">
        <v>1339</v>
      </c>
      <c r="D1012" t="s">
        <v>1420</v>
      </c>
      <c r="E1012" t="s">
        <v>1442</v>
      </c>
      <c r="F1012" t="s">
        <v>2406</v>
      </c>
      <c r="G1012" t="b">
        <v>0</v>
      </c>
      <c r="H1012">
        <f>HYPERLINK("https://athena.uww.org/media/cache/person_default/uploads/images/567a78a54b9dc.jpg")</f>
        <v>0</v>
      </c>
      <c r="I1012">
        <f>HYPERLINK("https://athena.uww.org/p/42")</f>
        <v>0</v>
      </c>
    </row>
    <row r="1013" spans="1:9">
      <c r="A1013">
        <v>5264</v>
      </c>
      <c r="B1013" t="s">
        <v>1020</v>
      </c>
      <c r="C1013" t="s">
        <v>1339</v>
      </c>
      <c r="D1013" t="s">
        <v>1420</v>
      </c>
      <c r="E1013" t="s">
        <v>1442</v>
      </c>
      <c r="F1013" t="s">
        <v>2407</v>
      </c>
      <c r="G1013" t="b">
        <v>0</v>
      </c>
      <c r="H1013">
        <f>HYPERLINK("https://athena.uww.org/media/cache/person_default/uploads/images/referee-5264.jpg")</f>
        <v>0</v>
      </c>
      <c r="I1013">
        <f>HYPERLINK("https://athena.uww.org/p/5264")</f>
        <v>0</v>
      </c>
    </row>
    <row r="1014" spans="1:9">
      <c r="A1014">
        <v>110496</v>
      </c>
      <c r="B1014" t="s">
        <v>1021</v>
      </c>
      <c r="C1014" t="s">
        <v>1339</v>
      </c>
      <c r="D1014" t="s">
        <v>1420</v>
      </c>
      <c r="E1014" t="s">
        <v>1442</v>
      </c>
      <c r="F1014" t="s">
        <v>2408</v>
      </c>
      <c r="G1014" t="b">
        <v>1</v>
      </c>
      <c r="H1014">
        <f>HYPERLINK("https://athena.uww.org/media/cache/person_default/uploads/images/crop/68aee3e4b6ef5785858511.png")</f>
        <v>0</v>
      </c>
      <c r="I1014">
        <f>HYPERLINK("https://athena.uww.org/p/110496")</f>
        <v>0</v>
      </c>
    </row>
    <row r="1015" spans="1:9">
      <c r="A1015">
        <v>52115</v>
      </c>
      <c r="B1015" t="s">
        <v>1022</v>
      </c>
      <c r="C1015" t="s">
        <v>1340</v>
      </c>
      <c r="D1015" t="s">
        <v>1420</v>
      </c>
      <c r="E1015" t="s">
        <v>1442</v>
      </c>
      <c r="F1015" t="s">
        <v>2409</v>
      </c>
      <c r="G1015" t="b">
        <v>0</v>
      </c>
      <c r="H1015">
        <f>HYPERLINK("https://athena.uww.org/media/cache/person_default/uploads/images/crop/5a12f430ccd30.png")</f>
        <v>0</v>
      </c>
      <c r="I1015">
        <f>HYPERLINK("https://athena.uww.org/p/52115")</f>
        <v>0</v>
      </c>
    </row>
    <row r="1016" spans="1:9">
      <c r="A1016">
        <v>5227</v>
      </c>
      <c r="B1016" t="s">
        <v>1023</v>
      </c>
      <c r="C1016" t="s">
        <v>1339</v>
      </c>
      <c r="D1016" t="s">
        <v>1421</v>
      </c>
      <c r="E1016" t="s">
        <v>1441</v>
      </c>
      <c r="F1016" t="s">
        <v>2410</v>
      </c>
      <c r="G1016" t="b">
        <v>1</v>
      </c>
      <c r="H1016">
        <f>HYPERLINK("https://athena.uww.org/media/cache/person_default/uploads/images/569e396cb3094.jpg")</f>
        <v>0</v>
      </c>
      <c r="I1016">
        <f>HYPERLINK("https://athena.uww.org/p/5227")</f>
        <v>0</v>
      </c>
    </row>
    <row r="1017" spans="1:9">
      <c r="A1017">
        <v>5226</v>
      </c>
      <c r="B1017" t="s">
        <v>1024</v>
      </c>
      <c r="C1017" t="s">
        <v>1339</v>
      </c>
      <c r="D1017" t="s">
        <v>1421</v>
      </c>
      <c r="E1017" t="s">
        <v>1439</v>
      </c>
      <c r="F1017" t="s">
        <v>2411</v>
      </c>
      <c r="G1017" t="b">
        <v>1</v>
      </c>
      <c r="H1017">
        <f>HYPERLINK("https://athena.uww.org/media/cache/person_default/uploads/images/referee-5226.jpg")</f>
        <v>0</v>
      </c>
      <c r="I1017">
        <f>HYPERLINK("https://athena.uww.org/p/5226")</f>
        <v>0</v>
      </c>
    </row>
    <row r="1018" spans="1:9">
      <c r="A1018">
        <v>5225</v>
      </c>
      <c r="B1018" t="s">
        <v>1025</v>
      </c>
      <c r="C1018" t="s">
        <v>1339</v>
      </c>
      <c r="D1018" t="s">
        <v>1421</v>
      </c>
      <c r="E1018" t="s">
        <v>1442</v>
      </c>
      <c r="F1018" t="s">
        <v>2412</v>
      </c>
      <c r="G1018" t="b">
        <v>0</v>
      </c>
      <c r="H1018">
        <f>HYPERLINK("https://athena.uww.org/media/cache/person_default/uploads/images/crop/680f717e9a6d6061535685.png")</f>
        <v>0</v>
      </c>
      <c r="I1018">
        <f>HYPERLINK("https://athena.uww.org/p/5225")</f>
        <v>0</v>
      </c>
    </row>
    <row r="1019" spans="1:9">
      <c r="A1019">
        <v>87527</v>
      </c>
      <c r="B1019" t="s">
        <v>1026</v>
      </c>
      <c r="C1019" t="s">
        <v>1339</v>
      </c>
      <c r="D1019" t="s">
        <v>1422</v>
      </c>
      <c r="E1019" t="s">
        <v>1439</v>
      </c>
      <c r="F1019" t="s">
        <v>2413</v>
      </c>
      <c r="G1019" t="b">
        <v>1</v>
      </c>
      <c r="H1019">
        <f>HYPERLINK("https://athena.uww.org/media/cache/person_default/uploads/images/crop/635b96c364edf337983763.png")</f>
        <v>0</v>
      </c>
      <c r="I1019">
        <f>HYPERLINK("https://athena.uww.org/p/87527")</f>
        <v>0</v>
      </c>
    </row>
    <row r="1020" spans="1:9">
      <c r="A1020">
        <v>24884</v>
      </c>
      <c r="B1020" t="s">
        <v>1027</v>
      </c>
      <c r="C1020" t="s">
        <v>1339</v>
      </c>
      <c r="D1020" t="s">
        <v>1422</v>
      </c>
      <c r="E1020" t="s">
        <v>1439</v>
      </c>
      <c r="F1020" t="s">
        <v>2414</v>
      </c>
      <c r="G1020" t="b">
        <v>1</v>
      </c>
      <c r="H1020">
        <f>HYPERLINK("https://athena.uww.org/media/cache/person_default/uploads/images/1168030588001.jpeg")</f>
        <v>0</v>
      </c>
      <c r="I1020">
        <f>HYPERLINK("https://athena.uww.org/p/24884")</f>
        <v>0</v>
      </c>
    </row>
    <row r="1021" spans="1:9">
      <c r="A1021">
        <v>51032</v>
      </c>
      <c r="B1021" t="s">
        <v>1028</v>
      </c>
      <c r="C1021" t="s">
        <v>1339</v>
      </c>
      <c r="D1021" t="s">
        <v>1423</v>
      </c>
      <c r="E1021" t="s">
        <v>1440</v>
      </c>
      <c r="F1021" t="s">
        <v>2415</v>
      </c>
      <c r="G1021" t="b">
        <v>1</v>
      </c>
      <c r="H1021">
        <f>HYPERLINK("https://athena.uww.org/media/cache/person_default/uploads/images/crop/6206861986f41532128719.png")</f>
        <v>0</v>
      </c>
      <c r="I1021">
        <f>HYPERLINK("https://athena.uww.org/p/51032")</f>
        <v>0</v>
      </c>
    </row>
    <row r="1022" spans="1:9">
      <c r="A1022">
        <v>4525</v>
      </c>
      <c r="B1022" t="s">
        <v>1029</v>
      </c>
      <c r="C1022" t="s">
        <v>1340</v>
      </c>
      <c r="D1022" t="s">
        <v>1423</v>
      </c>
      <c r="E1022" t="s">
        <v>1440</v>
      </c>
      <c r="F1022" t="s">
        <v>2416</v>
      </c>
      <c r="G1022" t="b">
        <v>1</v>
      </c>
      <c r="H1022">
        <f>HYPERLINK("https://athena.uww.org/media/cache/person_default/uploads/images/crop/63cba239a19a9245903318.png")</f>
        <v>0</v>
      </c>
      <c r="I1022">
        <f>HYPERLINK("https://athena.uww.org/p/4525")</f>
        <v>0</v>
      </c>
    </row>
    <row r="1023" spans="1:9">
      <c r="A1023">
        <v>12638</v>
      </c>
      <c r="B1023" t="s">
        <v>1030</v>
      </c>
      <c r="C1023" t="s">
        <v>1339</v>
      </c>
      <c r="D1023" t="s">
        <v>1423</v>
      </c>
      <c r="E1023" t="s">
        <v>1440</v>
      </c>
      <c r="F1023" t="s">
        <v>2417</v>
      </c>
      <c r="G1023" t="b">
        <v>1</v>
      </c>
      <c r="H1023">
        <f>HYPERLINK("https://athena.uww.org/media/cache/person_default/uploads/images/crop/5d09e3c4d1bdc895204395.png")</f>
        <v>0</v>
      </c>
      <c r="I1023">
        <f>HYPERLINK("https://athena.uww.org/p/12638")</f>
        <v>0</v>
      </c>
    </row>
    <row r="1024" spans="1:9">
      <c r="A1024">
        <v>4655</v>
      </c>
      <c r="B1024" t="s">
        <v>1031</v>
      </c>
      <c r="C1024" t="s">
        <v>1339</v>
      </c>
      <c r="D1024" t="s">
        <v>1423</v>
      </c>
      <c r="E1024" t="s">
        <v>1440</v>
      </c>
      <c r="F1024" t="s">
        <v>2418</v>
      </c>
      <c r="G1024" t="b">
        <v>1</v>
      </c>
      <c r="H1024">
        <f>HYPERLINK("https://athena.uww.org/media/cache/person_default/uploads/images/crop/63cba2404028c057654242.png")</f>
        <v>0</v>
      </c>
      <c r="I1024">
        <f>HYPERLINK("https://athena.uww.org/p/4655")</f>
        <v>0</v>
      </c>
    </row>
    <row r="1025" spans="1:9">
      <c r="A1025">
        <v>33386</v>
      </c>
      <c r="B1025" t="s">
        <v>1032</v>
      </c>
      <c r="C1025" t="s">
        <v>1339</v>
      </c>
      <c r="D1025" t="s">
        <v>1423</v>
      </c>
      <c r="E1025" t="s">
        <v>1441</v>
      </c>
      <c r="F1025" t="s">
        <v>2419</v>
      </c>
      <c r="G1025" t="b">
        <v>1</v>
      </c>
      <c r="H1025">
        <f>HYPERLINK("https://athena.uww.org/media/cache/person_default/uploads/images/56aa1e4ae16ae.jpg")</f>
        <v>0</v>
      </c>
      <c r="I1025">
        <f>HYPERLINK("https://athena.uww.org/p/33386")</f>
        <v>0</v>
      </c>
    </row>
    <row r="1026" spans="1:9">
      <c r="A1026">
        <v>5454</v>
      </c>
      <c r="B1026" t="s">
        <v>1033</v>
      </c>
      <c r="C1026" t="s">
        <v>1339</v>
      </c>
      <c r="D1026" t="s">
        <v>1423</v>
      </c>
      <c r="E1026" t="s">
        <v>1441</v>
      </c>
      <c r="F1026" t="s">
        <v>2420</v>
      </c>
      <c r="G1026" t="b">
        <v>1</v>
      </c>
      <c r="H1026">
        <f>HYPERLINK("https://athena.uww.org/media/cache/person_default/uploads/images/crop/5fd343971f91c483504944.png")</f>
        <v>0</v>
      </c>
      <c r="I1026">
        <f>HYPERLINK("https://athena.uww.org/p/5454")</f>
        <v>0</v>
      </c>
    </row>
    <row r="1027" spans="1:9">
      <c r="A1027">
        <v>51033</v>
      </c>
      <c r="B1027" t="s">
        <v>1034</v>
      </c>
      <c r="C1027" t="s">
        <v>1339</v>
      </c>
      <c r="D1027" t="s">
        <v>1423</v>
      </c>
      <c r="E1027" t="s">
        <v>1441</v>
      </c>
      <c r="F1027" t="s">
        <v>2421</v>
      </c>
      <c r="G1027" t="b">
        <v>1</v>
      </c>
      <c r="H1027">
        <f>HYPERLINK("https://athena.uww.org/media/cache/person_default/uploads/images/crop/59a57a5661c93.png")</f>
        <v>0</v>
      </c>
      <c r="I1027">
        <f>HYPERLINK("https://athena.uww.org/p/51033")</f>
        <v>0</v>
      </c>
    </row>
    <row r="1028" spans="1:9">
      <c r="A1028">
        <v>4976</v>
      </c>
      <c r="B1028" t="s">
        <v>1035</v>
      </c>
      <c r="C1028" t="s">
        <v>1339</v>
      </c>
      <c r="D1028" t="s">
        <v>1423</v>
      </c>
      <c r="E1028" t="s">
        <v>1439</v>
      </c>
      <c r="F1028" t="s">
        <v>2422</v>
      </c>
      <c r="G1028" t="b">
        <v>1</v>
      </c>
      <c r="H1028">
        <f>HYPERLINK("https://athena.uww.org/media/cache/person_default/uploads/images/referee-4976.jpg")</f>
        <v>0</v>
      </c>
      <c r="I1028">
        <f>HYPERLINK("https://athena.uww.org/p/4976")</f>
        <v>0</v>
      </c>
    </row>
    <row r="1029" spans="1:9">
      <c r="A1029">
        <v>7031</v>
      </c>
      <c r="B1029" t="s">
        <v>1036</v>
      </c>
      <c r="C1029" t="s">
        <v>1339</v>
      </c>
      <c r="D1029" t="s">
        <v>1423</v>
      </c>
      <c r="E1029" t="s">
        <v>1439</v>
      </c>
      <c r="F1029" t="s">
        <v>2423</v>
      </c>
      <c r="G1029" t="b">
        <v>1</v>
      </c>
      <c r="H1029">
        <f>HYPERLINK("https://athena.uww.org/media/cache/person_default/uploads/images/1141240986001.jpg")</f>
        <v>0</v>
      </c>
      <c r="I1029">
        <f>HYPERLINK("https://athena.uww.org/p/7031")</f>
        <v>0</v>
      </c>
    </row>
    <row r="1030" spans="1:9">
      <c r="A1030">
        <v>73410</v>
      </c>
      <c r="B1030" t="s">
        <v>1037</v>
      </c>
      <c r="C1030" t="s">
        <v>1339</v>
      </c>
      <c r="D1030" t="s">
        <v>1423</v>
      </c>
      <c r="E1030" t="s">
        <v>1439</v>
      </c>
      <c r="F1030" t="s">
        <v>2424</v>
      </c>
      <c r="G1030" t="b">
        <v>1</v>
      </c>
      <c r="H1030">
        <f>HYPERLINK("https://athena.uww.org/media/cache/person_default/uploads/images/crop/5fd368e5ab199519510323.png")</f>
        <v>0</v>
      </c>
      <c r="I1030">
        <f>HYPERLINK("https://athena.uww.org/p/73410")</f>
        <v>0</v>
      </c>
    </row>
    <row r="1031" spans="1:9">
      <c r="A1031">
        <v>4276</v>
      </c>
      <c r="B1031" t="s">
        <v>1038</v>
      </c>
      <c r="C1031" t="s">
        <v>1339</v>
      </c>
      <c r="D1031" t="s">
        <v>1423</v>
      </c>
      <c r="E1031" t="s">
        <v>1439</v>
      </c>
      <c r="F1031" t="s">
        <v>2425</v>
      </c>
      <c r="G1031" t="b">
        <v>1</v>
      </c>
      <c r="H1031">
        <f>HYPERLINK("https://athena.uww.org/media/cache/person_default/uploads/images/crop/5b3693a53608b.png")</f>
        <v>0</v>
      </c>
      <c r="I1031">
        <f>HYPERLINK("https://athena.uww.org/p/4276")</f>
        <v>0</v>
      </c>
    </row>
    <row r="1032" spans="1:9">
      <c r="A1032">
        <v>74846</v>
      </c>
      <c r="B1032" t="s">
        <v>1039</v>
      </c>
      <c r="C1032" t="s">
        <v>1339</v>
      </c>
      <c r="D1032" t="s">
        <v>1423</v>
      </c>
      <c r="E1032" t="s">
        <v>1439</v>
      </c>
      <c r="F1032" t="s">
        <v>2426</v>
      </c>
      <c r="G1032" t="b">
        <v>1</v>
      </c>
      <c r="H1032">
        <f>HYPERLINK("https://athena.uww.org/media/cache/person_default/uploads/images/crop/60866a3e24a8f860801528.png")</f>
        <v>0</v>
      </c>
      <c r="I1032">
        <f>HYPERLINK("https://athena.uww.org/p/74846")</f>
        <v>0</v>
      </c>
    </row>
    <row r="1033" spans="1:9">
      <c r="A1033">
        <v>84686</v>
      </c>
      <c r="B1033" t="s">
        <v>1040</v>
      </c>
      <c r="C1033" t="s">
        <v>1339</v>
      </c>
      <c r="D1033" t="s">
        <v>1423</v>
      </c>
      <c r="E1033" t="s">
        <v>1439</v>
      </c>
      <c r="F1033" t="s">
        <v>2427</v>
      </c>
      <c r="G1033" t="b">
        <v>1</v>
      </c>
      <c r="H1033">
        <f>HYPERLINK("https://athena.uww.org/media/cache/person_default/uploads/images/crop/62aadda0bb6d7279251010.png")</f>
        <v>0</v>
      </c>
      <c r="I1033">
        <f>HYPERLINK("https://athena.uww.org/p/84686")</f>
        <v>0</v>
      </c>
    </row>
    <row r="1034" spans="1:9">
      <c r="A1034">
        <v>110658</v>
      </c>
      <c r="B1034" t="s">
        <v>1041</v>
      </c>
      <c r="C1034" t="s">
        <v>1339</v>
      </c>
      <c r="D1034" t="s">
        <v>1423</v>
      </c>
      <c r="E1034" t="s">
        <v>1442</v>
      </c>
      <c r="F1034" t="s">
        <v>2428</v>
      </c>
      <c r="G1034" t="b">
        <v>1</v>
      </c>
      <c r="H1034">
        <f>HYPERLINK("https://athena.uww.org/media/cache/person_default/uploads/images/crop/68b92bb60a666800093780.png")</f>
        <v>0</v>
      </c>
      <c r="I1034">
        <f>HYPERLINK("https://athena.uww.org/p/110658")</f>
        <v>0</v>
      </c>
    </row>
    <row r="1035" spans="1:9">
      <c r="A1035">
        <v>98239</v>
      </c>
      <c r="B1035" t="s">
        <v>1042</v>
      </c>
      <c r="C1035" t="s">
        <v>1340</v>
      </c>
      <c r="D1035" t="s">
        <v>1423</v>
      </c>
      <c r="E1035" t="s">
        <v>1442</v>
      </c>
      <c r="F1035" t="s">
        <v>2429</v>
      </c>
      <c r="G1035" t="b">
        <v>1</v>
      </c>
      <c r="H1035">
        <f>HYPERLINK("https://athena.uww.org/media/cache/person_default/uploads/images/crop/66012d89241f9796536403.png")</f>
        <v>0</v>
      </c>
      <c r="I1035">
        <f>HYPERLINK("https://athena.uww.org/p/98239")</f>
        <v>0</v>
      </c>
    </row>
    <row r="1036" spans="1:9">
      <c r="A1036">
        <v>92105</v>
      </c>
      <c r="B1036" t="s">
        <v>1043</v>
      </c>
      <c r="C1036" t="s">
        <v>1339</v>
      </c>
      <c r="D1036" t="s">
        <v>1423</v>
      </c>
      <c r="E1036" t="s">
        <v>1442</v>
      </c>
      <c r="F1036" t="s">
        <v>2430</v>
      </c>
      <c r="G1036" t="b">
        <v>1</v>
      </c>
      <c r="H1036">
        <f>HYPERLINK("https://athena.uww.org/media/cache/person_default/uploads/images/6479c97ad6657299463647.jpeg")</f>
        <v>0</v>
      </c>
      <c r="I1036">
        <f>HYPERLINK("https://athena.uww.org/p/92105")</f>
        <v>0</v>
      </c>
    </row>
    <row r="1037" spans="1:9">
      <c r="A1037">
        <v>92197</v>
      </c>
      <c r="B1037" t="s">
        <v>1044</v>
      </c>
      <c r="C1037" t="s">
        <v>1339</v>
      </c>
      <c r="D1037" t="s">
        <v>1423</v>
      </c>
      <c r="E1037" t="s">
        <v>1442</v>
      </c>
      <c r="F1037" t="s">
        <v>2431</v>
      </c>
      <c r="G1037" t="b">
        <v>1</v>
      </c>
      <c r="H1037">
        <f>HYPERLINK("https://athena.uww.org/media/cache/person_default/uploads/images/crop/647da85fe1bff769074989.png")</f>
        <v>0</v>
      </c>
      <c r="I1037">
        <f>HYPERLINK("https://athena.uww.org/p/92197")</f>
        <v>0</v>
      </c>
    </row>
    <row r="1038" spans="1:9">
      <c r="A1038">
        <v>36434</v>
      </c>
      <c r="B1038" t="s">
        <v>1045</v>
      </c>
      <c r="C1038" t="s">
        <v>1340</v>
      </c>
      <c r="D1038" t="s">
        <v>1423</v>
      </c>
      <c r="E1038" t="s">
        <v>1442</v>
      </c>
      <c r="F1038" t="s">
        <v>2432</v>
      </c>
      <c r="G1038" t="b">
        <v>1</v>
      </c>
      <c r="H1038">
        <f>HYPERLINK("https://athena.uww.org/media/cache/person_default/uploads/images/crop/572085f0647d9.png")</f>
        <v>0</v>
      </c>
      <c r="I1038">
        <f>HYPERLINK("https://athena.uww.org/p/36434")</f>
        <v>0</v>
      </c>
    </row>
    <row r="1039" spans="1:9">
      <c r="A1039">
        <v>85313</v>
      </c>
      <c r="B1039" t="s">
        <v>1046</v>
      </c>
      <c r="C1039" t="s">
        <v>1339</v>
      </c>
      <c r="D1039" t="s">
        <v>1423</v>
      </c>
      <c r="E1039" t="s">
        <v>1442</v>
      </c>
      <c r="F1039" t="s">
        <v>2433</v>
      </c>
      <c r="G1039" t="b">
        <v>1</v>
      </c>
      <c r="H1039">
        <f>HYPERLINK("https://athena.uww.org/media/cache/person_default/uploads/images/crop/62c7f97bd2d92906381247.png")</f>
        <v>0</v>
      </c>
      <c r="I1039">
        <f>HYPERLINK("https://athena.uww.org/p/85313")</f>
        <v>0</v>
      </c>
    </row>
    <row r="1040" spans="1:9">
      <c r="A1040">
        <v>10349</v>
      </c>
      <c r="B1040" t="s">
        <v>1047</v>
      </c>
      <c r="C1040" t="s">
        <v>1339</v>
      </c>
      <c r="D1040" t="s">
        <v>1423</v>
      </c>
      <c r="E1040" t="s">
        <v>1442</v>
      </c>
      <c r="F1040" t="s">
        <v>1475</v>
      </c>
      <c r="G1040" t="b">
        <v>1</v>
      </c>
      <c r="H1040">
        <f>HYPERLINK("https://athena.uww.org/media/cache/person_default/uploads/images/1141130186001.jpg")</f>
        <v>0</v>
      </c>
      <c r="I1040">
        <f>HYPERLINK("https://athena.uww.org/p/10349")</f>
        <v>0</v>
      </c>
    </row>
    <row r="1041" spans="1:9">
      <c r="A1041">
        <v>83509</v>
      </c>
      <c r="B1041" t="s">
        <v>1048</v>
      </c>
      <c r="C1041" t="s">
        <v>1339</v>
      </c>
      <c r="D1041" t="s">
        <v>1424</v>
      </c>
      <c r="E1041" t="s">
        <v>1441</v>
      </c>
      <c r="F1041" t="s">
        <v>2434</v>
      </c>
      <c r="G1041" t="b">
        <v>1</v>
      </c>
      <c r="H1041">
        <f>HYPERLINK("https://athena.uww.org/media/cache/person_default/uploads/images/crop/628dd90fd5375517401801.png")</f>
        <v>0</v>
      </c>
      <c r="I1041">
        <f>HYPERLINK("https://athena.uww.org/p/83509")</f>
        <v>0</v>
      </c>
    </row>
    <row r="1042" spans="1:9">
      <c r="A1042">
        <v>86377</v>
      </c>
      <c r="B1042" t="s">
        <v>1049</v>
      </c>
      <c r="C1042" t="s">
        <v>1340</v>
      </c>
      <c r="D1042" t="s">
        <v>1424</v>
      </c>
      <c r="E1042" t="s">
        <v>1439</v>
      </c>
      <c r="F1042" t="s">
        <v>2435</v>
      </c>
      <c r="G1042" t="b">
        <v>1</v>
      </c>
      <c r="H1042">
        <f>HYPERLINK("https://athena.uww.org/media/cache/person_default/uploads/images/crop/6319ecf3b761f366462815.png")</f>
        <v>0</v>
      </c>
      <c r="I1042">
        <f>HYPERLINK("https://athena.uww.org/p/86377")</f>
        <v>0</v>
      </c>
    </row>
    <row r="1043" spans="1:9">
      <c r="A1043">
        <v>83507</v>
      </c>
      <c r="B1043" t="s">
        <v>1050</v>
      </c>
      <c r="C1043" t="s">
        <v>1339</v>
      </c>
      <c r="D1043" t="s">
        <v>1424</v>
      </c>
      <c r="E1043" t="s">
        <v>1439</v>
      </c>
      <c r="F1043" t="s">
        <v>2436</v>
      </c>
      <c r="G1043" t="b">
        <v>1</v>
      </c>
      <c r="H1043">
        <f>HYPERLINK("https://athena.uww.org/media/cache/person_default/uploads/images/crop/628c69ffbb7fd760663767.png")</f>
        <v>0</v>
      </c>
      <c r="I1043">
        <f>HYPERLINK("https://athena.uww.org/p/83507")</f>
        <v>0</v>
      </c>
    </row>
    <row r="1044" spans="1:9">
      <c r="A1044">
        <v>86376</v>
      </c>
      <c r="B1044" t="s">
        <v>1051</v>
      </c>
      <c r="C1044" t="s">
        <v>1339</v>
      </c>
      <c r="D1044" t="s">
        <v>1424</v>
      </c>
      <c r="E1044" t="s">
        <v>1442</v>
      </c>
      <c r="F1044" t="s">
        <v>2437</v>
      </c>
      <c r="G1044" t="b">
        <v>1</v>
      </c>
      <c r="H1044">
        <f>HYPERLINK("https://athena.uww.org/media/cache/person_default/uploads/images/crop/6319ee9c6d37f387386286.png")</f>
        <v>0</v>
      </c>
      <c r="I1044">
        <f>HYPERLINK("https://athena.uww.org/p/86376")</f>
        <v>0</v>
      </c>
    </row>
    <row r="1045" spans="1:9">
      <c r="A1045">
        <v>60367</v>
      </c>
      <c r="B1045" t="s">
        <v>1052</v>
      </c>
      <c r="C1045" t="s">
        <v>1339</v>
      </c>
      <c r="D1045" t="s">
        <v>1425</v>
      </c>
      <c r="E1045" t="s">
        <v>1440</v>
      </c>
      <c r="F1045" t="s">
        <v>2438</v>
      </c>
      <c r="G1045" t="b">
        <v>1</v>
      </c>
      <c r="H1045">
        <f>HYPERLINK("https://athena.uww.org/media/cache/person_default/uploads/images/crop/5b87fde1ab56a.png")</f>
        <v>0</v>
      </c>
      <c r="I1045">
        <f>HYPERLINK("https://athena.uww.org/p/60367")</f>
        <v>0</v>
      </c>
    </row>
    <row r="1046" spans="1:9">
      <c r="A1046">
        <v>74</v>
      </c>
      <c r="B1046" t="s">
        <v>1053</v>
      </c>
      <c r="C1046" t="s">
        <v>1339</v>
      </c>
      <c r="D1046" t="s">
        <v>1425</v>
      </c>
      <c r="E1046" t="s">
        <v>1440</v>
      </c>
      <c r="F1046" t="s">
        <v>2439</v>
      </c>
      <c r="G1046" t="b">
        <v>1</v>
      </c>
      <c r="H1046">
        <f>HYPERLINK("https://athena.uww.org/media/cache/person_default/uploads/images/crop/63cba2dd35ffb372855798.png")</f>
        <v>0</v>
      </c>
      <c r="I1046">
        <f>HYPERLINK("https://athena.uww.org/p/74")</f>
        <v>0</v>
      </c>
    </row>
    <row r="1047" spans="1:9">
      <c r="A1047">
        <v>41846</v>
      </c>
      <c r="B1047" t="s">
        <v>1054</v>
      </c>
      <c r="C1047" t="s">
        <v>1339</v>
      </c>
      <c r="D1047" t="s">
        <v>1425</v>
      </c>
      <c r="E1047" t="s">
        <v>1441</v>
      </c>
      <c r="F1047" t="s">
        <v>2440</v>
      </c>
      <c r="G1047" t="b">
        <v>1</v>
      </c>
      <c r="H1047">
        <f>HYPERLINK("https://athena.uww.org/media/cache/person_default/uploads/images/crop/6731b0b715cf6214884381.png")</f>
        <v>0</v>
      </c>
      <c r="I1047">
        <f>HYPERLINK("https://athena.uww.org/p/41846")</f>
        <v>0</v>
      </c>
    </row>
    <row r="1048" spans="1:9">
      <c r="A1048">
        <v>2677</v>
      </c>
      <c r="B1048" t="s">
        <v>1055</v>
      </c>
      <c r="C1048" t="s">
        <v>1339</v>
      </c>
      <c r="D1048" t="s">
        <v>1425</v>
      </c>
      <c r="E1048" t="s">
        <v>1439</v>
      </c>
      <c r="F1048" t="s">
        <v>2441</v>
      </c>
      <c r="G1048" t="b">
        <v>1</v>
      </c>
      <c r="H1048">
        <f>HYPERLINK("https://athena.uww.org/media/cache/person_default/uploads/images/crop/6123410c8c22d821366853.png")</f>
        <v>0</v>
      </c>
      <c r="I1048">
        <f>HYPERLINK("https://athena.uww.org/p/2677")</f>
        <v>0</v>
      </c>
    </row>
    <row r="1049" spans="1:9">
      <c r="A1049">
        <v>77366</v>
      </c>
      <c r="B1049" t="s">
        <v>1056</v>
      </c>
      <c r="C1049" t="s">
        <v>1339</v>
      </c>
      <c r="D1049" t="s">
        <v>1425</v>
      </c>
      <c r="E1049" t="s">
        <v>1442</v>
      </c>
      <c r="F1049" t="s">
        <v>2442</v>
      </c>
      <c r="G1049" t="b">
        <v>1</v>
      </c>
      <c r="H1049">
        <f>HYPERLINK("https://athena.uww.org/media/cache/person_default/uploads/images/crop/60ffbc1e5886d306307064.png")</f>
        <v>0</v>
      </c>
      <c r="I1049">
        <f>HYPERLINK("https://athena.uww.org/p/77366")</f>
        <v>0</v>
      </c>
    </row>
    <row r="1050" spans="1:9">
      <c r="A1050">
        <v>103096</v>
      </c>
      <c r="B1050" t="s">
        <v>1057</v>
      </c>
      <c r="C1050" t="s">
        <v>1339</v>
      </c>
      <c r="D1050" t="s">
        <v>1425</v>
      </c>
      <c r="E1050" t="s">
        <v>1442</v>
      </c>
      <c r="F1050" t="s">
        <v>2443</v>
      </c>
      <c r="G1050" t="b">
        <v>1</v>
      </c>
      <c r="H1050">
        <f>HYPERLINK("https://athena.uww.org/media/cache/person_default/uploads/images/crop/66d552576ae53205944822.png")</f>
        <v>0</v>
      </c>
      <c r="I1050">
        <f>HYPERLINK("https://athena.uww.org/p/103096")</f>
        <v>0</v>
      </c>
    </row>
    <row r="1051" spans="1:9">
      <c r="A1051">
        <v>103174</v>
      </c>
      <c r="B1051" t="s">
        <v>1058</v>
      </c>
      <c r="C1051" t="s">
        <v>1339</v>
      </c>
      <c r="D1051" t="s">
        <v>1425</v>
      </c>
      <c r="E1051" t="s">
        <v>1442</v>
      </c>
      <c r="F1051" t="s">
        <v>2444</v>
      </c>
      <c r="G1051" t="b">
        <v>1</v>
      </c>
      <c r="H1051">
        <f>HYPERLINK("https://athena.uww.org/media/cache/person_default/uploads/images/crop/66d8016ed21f8543932089.png")</f>
        <v>0</v>
      </c>
      <c r="I1051">
        <f>HYPERLINK("https://athena.uww.org/p/103174")</f>
        <v>0</v>
      </c>
    </row>
    <row r="1052" spans="1:9">
      <c r="A1052">
        <v>5158</v>
      </c>
      <c r="B1052" t="s">
        <v>1059</v>
      </c>
      <c r="C1052" t="s">
        <v>1339</v>
      </c>
      <c r="D1052" t="s">
        <v>1426</v>
      </c>
      <c r="E1052" t="s">
        <v>1440</v>
      </c>
      <c r="F1052" t="s">
        <v>2445</v>
      </c>
      <c r="G1052" t="b">
        <v>1</v>
      </c>
      <c r="H1052">
        <f>HYPERLINK("https://athena.uww.org/media/cache/person_default/uploads/images/crop/63cb9e89efbc5777220710.png")</f>
        <v>0</v>
      </c>
      <c r="I1052">
        <f>HYPERLINK("https://athena.uww.org/p/5158")</f>
        <v>0</v>
      </c>
    </row>
    <row r="1053" spans="1:9">
      <c r="A1053">
        <v>41838</v>
      </c>
      <c r="B1053" t="s">
        <v>1060</v>
      </c>
      <c r="C1053" t="s">
        <v>1339</v>
      </c>
      <c r="D1053" t="s">
        <v>1426</v>
      </c>
      <c r="E1053" t="s">
        <v>1441</v>
      </c>
      <c r="F1053" t="s">
        <v>2446</v>
      </c>
      <c r="G1053" t="b">
        <v>1</v>
      </c>
      <c r="H1053">
        <f>HYPERLINK("https://athena.uww.org/media/cache/person_default/uploads/images/crop/580f61b0b3973.png")</f>
        <v>0</v>
      </c>
      <c r="I1053">
        <f>HYPERLINK("https://athena.uww.org/p/41838")</f>
        <v>0</v>
      </c>
    </row>
    <row r="1054" spans="1:9">
      <c r="A1054">
        <v>66721</v>
      </c>
      <c r="B1054" t="s">
        <v>1061</v>
      </c>
      <c r="C1054" t="s">
        <v>1339</v>
      </c>
      <c r="D1054" t="s">
        <v>1426</v>
      </c>
      <c r="E1054" t="s">
        <v>1439</v>
      </c>
      <c r="F1054" t="s">
        <v>2447</v>
      </c>
      <c r="G1054" t="b">
        <v>1</v>
      </c>
      <c r="H1054">
        <f>HYPERLINK("https://athena.uww.org/media/cache/person_default/uploads/images/crop/5cebca7a23ee2347681821.png")</f>
        <v>0</v>
      </c>
      <c r="I1054">
        <f>HYPERLINK("https://athena.uww.org/p/66721")</f>
        <v>0</v>
      </c>
    </row>
    <row r="1055" spans="1:9">
      <c r="A1055">
        <v>8684</v>
      </c>
      <c r="B1055" t="s">
        <v>1062</v>
      </c>
      <c r="C1055" t="s">
        <v>1339</v>
      </c>
      <c r="D1055" t="s">
        <v>1426</v>
      </c>
      <c r="E1055" t="s">
        <v>1439</v>
      </c>
      <c r="F1055" t="s">
        <v>2448</v>
      </c>
      <c r="G1055" t="b">
        <v>1</v>
      </c>
      <c r="H1055">
        <f>HYPERLINK("https://athena.uww.org/media/cache/person_default/uploads/images/crop/59b7b046e808c.png")</f>
        <v>0</v>
      </c>
      <c r="I1055">
        <f>HYPERLINK("https://athena.uww.org/p/8684")</f>
        <v>0</v>
      </c>
    </row>
    <row r="1056" spans="1:9">
      <c r="A1056">
        <v>5562</v>
      </c>
      <c r="B1056" t="s">
        <v>1063</v>
      </c>
      <c r="C1056" t="s">
        <v>1339</v>
      </c>
      <c r="D1056" t="s">
        <v>1426</v>
      </c>
      <c r="E1056" t="s">
        <v>1442</v>
      </c>
      <c r="F1056" t="s">
        <v>2449</v>
      </c>
      <c r="G1056" t="b">
        <v>0</v>
      </c>
      <c r="H1056">
        <f>HYPERLINK("https://athena.uww.org/media/cache/person_default/uploads/images/569fb650ac48d.jpg")</f>
        <v>0</v>
      </c>
      <c r="I1056">
        <f>HYPERLINK("https://athena.uww.org/p/5562")</f>
        <v>0</v>
      </c>
    </row>
    <row r="1057" spans="1:9">
      <c r="A1057">
        <v>95638</v>
      </c>
      <c r="B1057" t="s">
        <v>1064</v>
      </c>
      <c r="C1057" t="s">
        <v>1339</v>
      </c>
      <c r="D1057" t="s">
        <v>1426</v>
      </c>
      <c r="E1057" t="s">
        <v>1442</v>
      </c>
      <c r="F1057" t="s">
        <v>2450</v>
      </c>
      <c r="G1057" t="b">
        <v>1</v>
      </c>
      <c r="H1057">
        <f>HYPERLINK("https://athena.uww.org/media/cache/person_default/uploads/images/crop/6515844b9c87d755097347.png")</f>
        <v>0</v>
      </c>
      <c r="I1057">
        <f>HYPERLINK("https://athena.uww.org/p/95638")</f>
        <v>0</v>
      </c>
    </row>
    <row r="1058" spans="1:9">
      <c r="A1058">
        <v>56127</v>
      </c>
      <c r="B1058" t="s">
        <v>1065</v>
      </c>
      <c r="C1058" t="s">
        <v>1339</v>
      </c>
      <c r="D1058" t="s">
        <v>1426</v>
      </c>
      <c r="E1058" t="s">
        <v>1442</v>
      </c>
      <c r="F1058" t="s">
        <v>2451</v>
      </c>
      <c r="G1058" t="b">
        <v>1</v>
      </c>
      <c r="H1058">
        <f>HYPERLINK("https://athena.uww.org/media/cache/person_default/uploads/images/crop/5ae17be8ae046.png")</f>
        <v>0</v>
      </c>
      <c r="I1058">
        <f>HYPERLINK("https://athena.uww.org/p/56127")</f>
        <v>0</v>
      </c>
    </row>
    <row r="1059" spans="1:9">
      <c r="A1059">
        <v>73</v>
      </c>
      <c r="B1059" t="s">
        <v>1066</v>
      </c>
      <c r="C1059" t="s">
        <v>1340</v>
      </c>
      <c r="D1059" t="s">
        <v>1427</v>
      </c>
      <c r="E1059" t="s">
        <v>1440</v>
      </c>
      <c r="F1059" t="s">
        <v>1620</v>
      </c>
      <c r="G1059" t="b">
        <v>1</v>
      </c>
      <c r="H1059">
        <f>HYPERLINK("https://athena.uww.org/media/cache/person_default/uploads/images/crop/63cba2ee1300f654523581.png")</f>
        <v>0</v>
      </c>
      <c r="I1059">
        <f>HYPERLINK("https://athena.uww.org/p/73")</f>
        <v>0</v>
      </c>
    </row>
    <row r="1060" spans="1:9">
      <c r="A1060">
        <v>4980</v>
      </c>
      <c r="B1060" t="s">
        <v>1067</v>
      </c>
      <c r="C1060" t="s">
        <v>1339</v>
      </c>
      <c r="D1060" t="s">
        <v>1427</v>
      </c>
      <c r="E1060" t="s">
        <v>1440</v>
      </c>
      <c r="F1060" t="s">
        <v>2452</v>
      </c>
      <c r="G1060" t="b">
        <v>1</v>
      </c>
      <c r="H1060">
        <f>HYPERLINK("https://athena.uww.org/media/cache/person_default/uploads/images/crop/63cba2fe8dfef231978879.png")</f>
        <v>0</v>
      </c>
      <c r="I1060">
        <f>HYPERLINK("https://athena.uww.org/p/4980")</f>
        <v>0</v>
      </c>
    </row>
    <row r="1061" spans="1:9">
      <c r="A1061">
        <v>4678</v>
      </c>
      <c r="B1061" t="s">
        <v>1068</v>
      </c>
      <c r="C1061" t="s">
        <v>1339</v>
      </c>
      <c r="D1061" t="s">
        <v>1427</v>
      </c>
      <c r="E1061" t="s">
        <v>1441</v>
      </c>
      <c r="F1061" t="s">
        <v>2453</v>
      </c>
      <c r="G1061" t="b">
        <v>1</v>
      </c>
      <c r="H1061">
        <f>HYPERLINK("https://athena.uww.org/media/cache/person_default/uploads/images/referee-4678.jpg")</f>
        <v>0</v>
      </c>
      <c r="I1061">
        <f>HYPERLINK("https://athena.uww.org/p/4678")</f>
        <v>0</v>
      </c>
    </row>
    <row r="1062" spans="1:9">
      <c r="A1062">
        <v>69215</v>
      </c>
      <c r="B1062" t="s">
        <v>1069</v>
      </c>
      <c r="C1062" t="s">
        <v>1339</v>
      </c>
      <c r="D1062" t="s">
        <v>1427</v>
      </c>
      <c r="E1062" t="s">
        <v>1441</v>
      </c>
      <c r="F1062" t="s">
        <v>2454</v>
      </c>
      <c r="G1062" t="b">
        <v>1</v>
      </c>
      <c r="H1062">
        <f>HYPERLINK("https://athena.uww.org/media/cache/person_default/uploads/images/crop/5d6647477af7e200563261.png")</f>
        <v>0</v>
      </c>
      <c r="I1062">
        <f>HYPERLINK("https://athena.uww.org/p/69215")</f>
        <v>0</v>
      </c>
    </row>
    <row r="1063" spans="1:9">
      <c r="A1063">
        <v>5300</v>
      </c>
      <c r="B1063" t="s">
        <v>1070</v>
      </c>
      <c r="C1063" t="s">
        <v>1339</v>
      </c>
      <c r="D1063" t="s">
        <v>1427</v>
      </c>
      <c r="E1063" t="s">
        <v>1439</v>
      </c>
      <c r="F1063" t="s">
        <v>2455</v>
      </c>
      <c r="G1063" t="b">
        <v>1</v>
      </c>
      <c r="H1063">
        <f>HYPERLINK("https://athena.uww.org/media/cache/person_default/uploads/images/crop/6261213359f4d355514497.png")</f>
        <v>0</v>
      </c>
      <c r="I1063">
        <f>HYPERLINK("https://athena.uww.org/p/5300")</f>
        <v>0</v>
      </c>
    </row>
    <row r="1064" spans="1:9">
      <c r="A1064">
        <v>41791</v>
      </c>
      <c r="B1064" t="s">
        <v>1071</v>
      </c>
      <c r="C1064" t="s">
        <v>1339</v>
      </c>
      <c r="D1064" t="s">
        <v>1427</v>
      </c>
      <c r="E1064" t="s">
        <v>1439</v>
      </c>
      <c r="F1064" t="s">
        <v>2456</v>
      </c>
      <c r="G1064" t="b">
        <v>1</v>
      </c>
      <c r="H1064">
        <f>HYPERLINK("https://athena.uww.org/media/cache/person_default/uploads/images/crop/580f2536a45ab.png")</f>
        <v>0</v>
      </c>
      <c r="I1064">
        <f>HYPERLINK("https://athena.uww.org/p/41791")</f>
        <v>0</v>
      </c>
    </row>
    <row r="1065" spans="1:9">
      <c r="A1065">
        <v>94603</v>
      </c>
      <c r="B1065" t="s">
        <v>1072</v>
      </c>
      <c r="C1065" t="s">
        <v>1339</v>
      </c>
      <c r="D1065" t="s">
        <v>1427</v>
      </c>
      <c r="E1065" t="s">
        <v>1439</v>
      </c>
      <c r="F1065" t="s">
        <v>2457</v>
      </c>
      <c r="G1065" t="b">
        <v>1</v>
      </c>
      <c r="H1065">
        <f>HYPERLINK("https://athena.uww.org/media/cache/person_default/uploads/images/crop/64e4b4b83684b858385977.png")</f>
        <v>0</v>
      </c>
      <c r="I1065">
        <f>HYPERLINK("https://athena.uww.org/p/94603")</f>
        <v>0</v>
      </c>
    </row>
    <row r="1066" spans="1:9">
      <c r="A1066">
        <v>5564</v>
      </c>
      <c r="B1066" t="s">
        <v>1073</v>
      </c>
      <c r="C1066" t="s">
        <v>1339</v>
      </c>
      <c r="D1066" t="s">
        <v>1427</v>
      </c>
      <c r="E1066" t="s">
        <v>1442</v>
      </c>
      <c r="F1066" t="s">
        <v>2458</v>
      </c>
      <c r="G1066" t="b">
        <v>1</v>
      </c>
      <c r="H1066">
        <f>HYPERLINK("https://athena.uww.org/media/cache/person_default/uploads/images/referee-5564.jpg")</f>
        <v>0</v>
      </c>
      <c r="I1066">
        <f>HYPERLINK("https://athena.uww.org/p/5564")</f>
        <v>0</v>
      </c>
    </row>
    <row r="1067" spans="1:9">
      <c r="A1067">
        <v>102709</v>
      </c>
      <c r="B1067" t="s">
        <v>1074</v>
      </c>
      <c r="C1067" t="s">
        <v>1339</v>
      </c>
      <c r="D1067" t="s">
        <v>1427</v>
      </c>
      <c r="E1067" t="s">
        <v>1442</v>
      </c>
      <c r="F1067" t="s">
        <v>2459</v>
      </c>
      <c r="G1067" t="b">
        <v>1</v>
      </c>
      <c r="H1067">
        <f>HYPERLINK("https://athena.uww.org/media/cache/person_default/uploads/images/crop/66b34569dd61b601347385.png")</f>
        <v>0</v>
      </c>
      <c r="I1067">
        <f>HYPERLINK("https://athena.uww.org/p/102709")</f>
        <v>0</v>
      </c>
    </row>
    <row r="1068" spans="1:9">
      <c r="A1068">
        <v>5192</v>
      </c>
      <c r="B1068" t="s">
        <v>1075</v>
      </c>
      <c r="C1068" t="s">
        <v>1339</v>
      </c>
      <c r="D1068" t="s">
        <v>1428</v>
      </c>
      <c r="E1068" t="s">
        <v>1439</v>
      </c>
      <c r="F1068" t="s">
        <v>2460</v>
      </c>
      <c r="G1068" t="b">
        <v>1</v>
      </c>
      <c r="H1068">
        <f>HYPERLINK("https://athena.uww.org/media/cache/person_default/uploads/images/referee-5192.jpg")</f>
        <v>0</v>
      </c>
      <c r="I1068">
        <f>HYPERLINK("https://athena.uww.org/p/5192")</f>
        <v>0</v>
      </c>
    </row>
    <row r="1069" spans="1:9">
      <c r="A1069">
        <v>76595</v>
      </c>
      <c r="B1069" t="s">
        <v>1076</v>
      </c>
      <c r="C1069" t="s">
        <v>1339</v>
      </c>
      <c r="D1069" t="s">
        <v>1428</v>
      </c>
      <c r="E1069" t="s">
        <v>1439</v>
      </c>
      <c r="F1069" t="s">
        <v>2461</v>
      </c>
      <c r="G1069" t="b">
        <v>1</v>
      </c>
      <c r="H1069">
        <f>HYPERLINK("https://athena.uww.org/media/cache/person_default/uploads/images/crop/62988acce9ae8197036170.png")</f>
        <v>0</v>
      </c>
      <c r="I1069">
        <f>HYPERLINK("https://athena.uww.org/p/76595")</f>
        <v>0</v>
      </c>
    </row>
    <row r="1070" spans="1:9">
      <c r="A1070">
        <v>15803</v>
      </c>
      <c r="B1070" t="s">
        <v>1077</v>
      </c>
      <c r="C1070" t="s">
        <v>1339</v>
      </c>
      <c r="D1070" t="s">
        <v>1428</v>
      </c>
      <c r="E1070" t="s">
        <v>1442</v>
      </c>
      <c r="F1070" t="s">
        <v>1741</v>
      </c>
      <c r="G1070" t="b">
        <v>0</v>
      </c>
      <c r="H1070">
        <f>HYPERLINK("https://athena.uww.org/media/cache/person_default/uploads/images/crop/603e6c3496ed1003301869.png")</f>
        <v>0</v>
      </c>
      <c r="I1070">
        <f>HYPERLINK("https://athena.uww.org/p/15803")</f>
        <v>0</v>
      </c>
    </row>
    <row r="1071" spans="1:9">
      <c r="A1071">
        <v>4794</v>
      </c>
      <c r="B1071" t="s">
        <v>1078</v>
      </c>
      <c r="C1071" t="s">
        <v>1339</v>
      </c>
      <c r="D1071" t="s">
        <v>1428</v>
      </c>
      <c r="E1071" t="s">
        <v>1442</v>
      </c>
      <c r="F1071" t="s">
        <v>2462</v>
      </c>
      <c r="G1071" t="b">
        <v>0</v>
      </c>
      <c r="H1071">
        <f>HYPERLINK("https://athena.uww.org/media/cache/person_default/uploads/images/crop/6603c998766f1414302590.png")</f>
        <v>0</v>
      </c>
      <c r="I1071">
        <f>HYPERLINK("https://athena.uww.org/p/4794")</f>
        <v>0</v>
      </c>
    </row>
    <row r="1072" spans="1:9">
      <c r="A1072">
        <v>4796</v>
      </c>
      <c r="B1072" t="s">
        <v>1079</v>
      </c>
      <c r="C1072" t="s">
        <v>1339</v>
      </c>
      <c r="D1072" t="s">
        <v>1428</v>
      </c>
      <c r="E1072" t="s">
        <v>1442</v>
      </c>
      <c r="F1072" t="s">
        <v>2463</v>
      </c>
      <c r="G1072" t="b">
        <v>0</v>
      </c>
      <c r="H1072">
        <f>HYPERLINK("https://athena.uww.org/media/cache/person_default/uploads/images/referee-4796.jpg")</f>
        <v>0</v>
      </c>
      <c r="I1072">
        <f>HYPERLINK("https://athena.uww.org/p/4796")</f>
        <v>0</v>
      </c>
    </row>
    <row r="1073" spans="1:9">
      <c r="A1073">
        <v>4795</v>
      </c>
      <c r="B1073" t="s">
        <v>1080</v>
      </c>
      <c r="C1073" t="s">
        <v>1339</v>
      </c>
      <c r="D1073" t="s">
        <v>1428</v>
      </c>
      <c r="E1073" t="s">
        <v>1442</v>
      </c>
      <c r="F1073" t="s">
        <v>2464</v>
      </c>
      <c r="G1073" t="b">
        <v>0</v>
      </c>
      <c r="H1073">
        <f>HYPERLINK("https://athena.uww.org/media/cache/person_default/uploads/images/crop/65b27ee67d6bf768057460.png")</f>
        <v>0</v>
      </c>
      <c r="I1073">
        <f>HYPERLINK("https://athena.uww.org/p/4795")</f>
        <v>0</v>
      </c>
    </row>
    <row r="1074" spans="1:9">
      <c r="A1074">
        <v>8391</v>
      </c>
      <c r="B1074" t="s">
        <v>1081</v>
      </c>
      <c r="C1074" t="s">
        <v>1339</v>
      </c>
      <c r="D1074" t="s">
        <v>1428</v>
      </c>
      <c r="E1074" t="s">
        <v>1442</v>
      </c>
      <c r="F1074" t="s">
        <v>2465</v>
      </c>
      <c r="G1074" t="b">
        <v>0</v>
      </c>
      <c r="H1074">
        <f>HYPERLINK("https://athena.uww.org/media/cache/person_default/uploads/images/crop/65d47ba4f1bd2354955061.png")</f>
        <v>0</v>
      </c>
      <c r="I1074">
        <f>HYPERLINK("https://athena.uww.org/p/8391")</f>
        <v>0</v>
      </c>
    </row>
    <row r="1075" spans="1:9">
      <c r="A1075">
        <v>5835</v>
      </c>
      <c r="B1075" t="s">
        <v>1082</v>
      </c>
      <c r="C1075" t="s">
        <v>1339</v>
      </c>
      <c r="D1075" t="s">
        <v>1429</v>
      </c>
      <c r="E1075" t="s">
        <v>1441</v>
      </c>
      <c r="F1075" t="s">
        <v>2122</v>
      </c>
      <c r="G1075" t="b">
        <v>1</v>
      </c>
      <c r="H1075">
        <f>HYPERLINK("https://athena.uww.org/media/cache/person_default/uploads/images/crop/59772dec7c3cb.png")</f>
        <v>0</v>
      </c>
      <c r="I1075">
        <f>HYPERLINK("https://athena.uww.org/p/5835")</f>
        <v>0</v>
      </c>
    </row>
    <row r="1076" spans="1:9">
      <c r="A1076">
        <v>5141</v>
      </c>
      <c r="B1076" t="s">
        <v>1083</v>
      </c>
      <c r="C1076" t="s">
        <v>1339</v>
      </c>
      <c r="D1076" t="s">
        <v>1429</v>
      </c>
      <c r="E1076" t="s">
        <v>1439</v>
      </c>
      <c r="F1076" t="s">
        <v>2466</v>
      </c>
      <c r="G1076" t="b">
        <v>1</v>
      </c>
      <c r="H1076">
        <f>HYPERLINK("https://athena.uww.org/media/cache/person_default/uploads/images/referee-5141.jpg")</f>
        <v>0</v>
      </c>
      <c r="I1076">
        <f>HYPERLINK("https://athena.uww.org/p/5141")</f>
        <v>0</v>
      </c>
    </row>
    <row r="1077" spans="1:9">
      <c r="A1077">
        <v>5013</v>
      </c>
      <c r="B1077" t="s">
        <v>1084</v>
      </c>
      <c r="C1077" t="s">
        <v>1339</v>
      </c>
      <c r="D1077" t="s">
        <v>1429</v>
      </c>
      <c r="E1077" t="s">
        <v>1439</v>
      </c>
      <c r="F1077" t="s">
        <v>2467</v>
      </c>
      <c r="G1077" t="b">
        <v>1</v>
      </c>
      <c r="H1077">
        <f>HYPERLINK("https://athena.uww.org/media/cache/person_default/uploads/images/referee-5013.jpg")</f>
        <v>0</v>
      </c>
      <c r="I1077">
        <f>HYPERLINK("https://athena.uww.org/p/5013")</f>
        <v>0</v>
      </c>
    </row>
    <row r="1078" spans="1:9">
      <c r="A1078">
        <v>4713</v>
      </c>
      <c r="B1078" t="s">
        <v>1085</v>
      </c>
      <c r="C1078" t="s">
        <v>1340</v>
      </c>
      <c r="D1078" t="s">
        <v>1429</v>
      </c>
      <c r="E1078" t="s">
        <v>1439</v>
      </c>
      <c r="F1078" t="s">
        <v>2096</v>
      </c>
      <c r="G1078" t="b">
        <v>1</v>
      </c>
      <c r="H1078">
        <f>HYPERLINK("https://athena.uww.org/media/cache/person_default/uploads/images/56fd0d249c5c9.jpg")</f>
        <v>0</v>
      </c>
      <c r="I1078">
        <f>HYPERLINK("https://athena.uww.org/p/4713")</f>
        <v>0</v>
      </c>
    </row>
    <row r="1079" spans="1:9">
      <c r="A1079">
        <v>5140</v>
      </c>
      <c r="B1079" t="s">
        <v>1086</v>
      </c>
      <c r="C1079" t="s">
        <v>1339</v>
      </c>
      <c r="D1079" t="s">
        <v>1429</v>
      </c>
      <c r="E1079" t="s">
        <v>1439</v>
      </c>
      <c r="F1079" t="s">
        <v>2468</v>
      </c>
      <c r="G1079" t="b">
        <v>1</v>
      </c>
      <c r="H1079">
        <f>HYPERLINK("https://athena.uww.org/media/cache/person_default/uploads/images/crop/5c8a53bc39858607857839.png")</f>
        <v>0</v>
      </c>
      <c r="I1079">
        <f>HYPERLINK("https://athena.uww.org/p/5140")</f>
        <v>0</v>
      </c>
    </row>
    <row r="1080" spans="1:9">
      <c r="A1080">
        <v>5143</v>
      </c>
      <c r="B1080" t="s">
        <v>1087</v>
      </c>
      <c r="C1080" t="s">
        <v>1340</v>
      </c>
      <c r="D1080" t="s">
        <v>1429</v>
      </c>
      <c r="E1080" t="s">
        <v>1439</v>
      </c>
      <c r="F1080" t="s">
        <v>2318</v>
      </c>
      <c r="G1080" t="b">
        <v>1</v>
      </c>
      <c r="H1080">
        <f>HYPERLINK("https://athena.uww.org/media/cache/person_default/uploads/images/referee-5143.jpg")</f>
        <v>0</v>
      </c>
      <c r="I1080">
        <f>HYPERLINK("https://athena.uww.org/p/5143")</f>
        <v>0</v>
      </c>
    </row>
    <row r="1081" spans="1:9">
      <c r="A1081">
        <v>34161</v>
      </c>
      <c r="B1081" t="s">
        <v>1088</v>
      </c>
      <c r="C1081" t="s">
        <v>1339</v>
      </c>
      <c r="D1081" t="s">
        <v>1429</v>
      </c>
      <c r="E1081" t="s">
        <v>1442</v>
      </c>
      <c r="F1081" t="s">
        <v>2469</v>
      </c>
      <c r="G1081" t="b">
        <v>1</v>
      </c>
      <c r="H1081">
        <f>HYPERLINK("https://athena.uww.org/media/cache/person_default/uploads/images/crop/666fd4d12e49a428999952.png")</f>
        <v>0</v>
      </c>
      <c r="I1081">
        <f>HYPERLINK("https://athena.uww.org/p/34161")</f>
        <v>0</v>
      </c>
    </row>
    <row r="1082" spans="1:9">
      <c r="A1082">
        <v>3834</v>
      </c>
      <c r="B1082" t="s">
        <v>1089</v>
      </c>
      <c r="C1082" t="s">
        <v>1340</v>
      </c>
      <c r="D1082" t="s">
        <v>1429</v>
      </c>
      <c r="E1082" t="s">
        <v>1442</v>
      </c>
      <c r="F1082" t="s">
        <v>1510</v>
      </c>
      <c r="G1082" t="b">
        <v>1</v>
      </c>
      <c r="H1082">
        <f>HYPERLINK("https://athena.uww.org/media/cache/person_default/uploads/images/2131310886001.jpg")</f>
        <v>0</v>
      </c>
      <c r="I1082">
        <f>HYPERLINK("https://athena.uww.org/p/3834")</f>
        <v>0</v>
      </c>
    </row>
    <row r="1083" spans="1:9">
      <c r="A1083">
        <v>109520</v>
      </c>
      <c r="B1083" t="s">
        <v>1090</v>
      </c>
      <c r="C1083" t="s">
        <v>1339</v>
      </c>
      <c r="D1083" t="s">
        <v>1429</v>
      </c>
      <c r="E1083" t="s">
        <v>1442</v>
      </c>
      <c r="F1083" t="s">
        <v>2470</v>
      </c>
      <c r="G1083" t="b">
        <v>1</v>
      </c>
      <c r="H1083">
        <f>HYPERLINK("https://athena.uww.org/media/cache/person_default/uploads/images/crop/6864e08e4ac8d330574029.png")</f>
        <v>0</v>
      </c>
      <c r="I1083">
        <f>HYPERLINK("https://athena.uww.org/p/109520")</f>
        <v>0</v>
      </c>
    </row>
    <row r="1084" spans="1:9">
      <c r="A1084">
        <v>34252</v>
      </c>
      <c r="B1084" t="s">
        <v>1091</v>
      </c>
      <c r="C1084" t="s">
        <v>1339</v>
      </c>
      <c r="D1084" t="s">
        <v>1429</v>
      </c>
      <c r="E1084" t="s">
        <v>1442</v>
      </c>
      <c r="F1084" t="s">
        <v>2471</v>
      </c>
      <c r="G1084" t="b">
        <v>1</v>
      </c>
      <c r="H1084">
        <f>HYPERLINK("https://athena.uww.org/media/cache/person_default/uploads/images/crop/5dd12b87dd93b458224413.png")</f>
        <v>0</v>
      </c>
      <c r="I1084">
        <f>HYPERLINK("https://athena.uww.org/p/34252")</f>
        <v>0</v>
      </c>
    </row>
    <row r="1085" spans="1:9">
      <c r="A1085">
        <v>101670</v>
      </c>
      <c r="B1085" t="s">
        <v>1092</v>
      </c>
      <c r="C1085" t="s">
        <v>1340</v>
      </c>
      <c r="D1085" t="s">
        <v>1429</v>
      </c>
      <c r="E1085" t="s">
        <v>1442</v>
      </c>
      <c r="F1085" t="s">
        <v>2472</v>
      </c>
      <c r="G1085" t="b">
        <v>1</v>
      </c>
      <c r="H1085">
        <f>HYPERLINK("https://athena.uww.org/media/cache/person_default/uploads/images/crop/666fd5881c0cb942706127.png")</f>
        <v>0</v>
      </c>
      <c r="I1085">
        <f>HYPERLINK("https://athena.uww.org/p/101670")</f>
        <v>0</v>
      </c>
    </row>
    <row r="1086" spans="1:9">
      <c r="A1086">
        <v>4745</v>
      </c>
      <c r="B1086" t="s">
        <v>1093</v>
      </c>
      <c r="C1086" t="s">
        <v>1339</v>
      </c>
      <c r="D1086" t="s">
        <v>1430</v>
      </c>
      <c r="E1086" t="s">
        <v>1441</v>
      </c>
      <c r="F1086" t="s">
        <v>2473</v>
      </c>
      <c r="G1086" t="b">
        <v>1</v>
      </c>
      <c r="H1086">
        <f>HYPERLINK("https://athena.uww.org/media/cache/person_default/uploads/images/crop/59dcad8c57992.png")</f>
        <v>0</v>
      </c>
      <c r="I1086">
        <f>HYPERLINK("https://athena.uww.org/p/4745")</f>
        <v>0</v>
      </c>
    </row>
    <row r="1087" spans="1:9">
      <c r="A1087">
        <v>15982</v>
      </c>
      <c r="B1087" t="s">
        <v>1094</v>
      </c>
      <c r="C1087" t="s">
        <v>1339</v>
      </c>
      <c r="D1087" t="s">
        <v>1430</v>
      </c>
      <c r="E1087" t="s">
        <v>1439</v>
      </c>
      <c r="F1087" t="s">
        <v>2474</v>
      </c>
      <c r="G1087" t="b">
        <v>1</v>
      </c>
      <c r="H1087">
        <f>HYPERLINK("https://athena.uww.org/media/cache/person_default/uploads/images/crop/6661b46786382256706415.png")</f>
        <v>0</v>
      </c>
      <c r="I1087">
        <f>HYPERLINK("https://athena.uww.org/p/15982")</f>
        <v>0</v>
      </c>
    </row>
    <row r="1088" spans="1:9">
      <c r="A1088">
        <v>5401</v>
      </c>
      <c r="B1088" t="s">
        <v>1095</v>
      </c>
      <c r="C1088" t="s">
        <v>1339</v>
      </c>
      <c r="D1088" t="s">
        <v>1430</v>
      </c>
      <c r="E1088" t="s">
        <v>1439</v>
      </c>
      <c r="F1088" t="s">
        <v>2475</v>
      </c>
      <c r="G1088" t="b">
        <v>1</v>
      </c>
      <c r="H1088">
        <f>HYPERLINK("https://athena.uww.org/media/cache/person_default/uploads/images/crop/5c541b52cc021627506026.png")</f>
        <v>0</v>
      </c>
      <c r="I1088">
        <f>HYPERLINK("https://athena.uww.org/p/5401")</f>
        <v>0</v>
      </c>
    </row>
    <row r="1089" spans="1:9">
      <c r="A1089">
        <v>21856</v>
      </c>
      <c r="B1089" t="s">
        <v>1096</v>
      </c>
      <c r="C1089" t="s">
        <v>1339</v>
      </c>
      <c r="D1089" t="s">
        <v>1430</v>
      </c>
      <c r="E1089" t="s">
        <v>1439</v>
      </c>
      <c r="F1089" t="s">
        <v>2375</v>
      </c>
      <c r="G1089" t="b">
        <v>1</v>
      </c>
      <c r="H1089">
        <f>HYPERLINK("https://athena.uww.org/media/cache/person_default/uploads/images/crop/5cbf1729bf101230785739.png")</f>
        <v>0</v>
      </c>
      <c r="I1089">
        <f>HYPERLINK("https://athena.uww.org/p/21856")</f>
        <v>0</v>
      </c>
    </row>
    <row r="1090" spans="1:9">
      <c r="A1090">
        <v>36960</v>
      </c>
      <c r="B1090" t="s">
        <v>1097</v>
      </c>
      <c r="C1090" t="s">
        <v>1339</v>
      </c>
      <c r="D1090" t="s">
        <v>1430</v>
      </c>
      <c r="E1090" t="s">
        <v>1442</v>
      </c>
      <c r="F1090" t="s">
        <v>2476</v>
      </c>
      <c r="G1090" t="b">
        <v>1</v>
      </c>
      <c r="H1090">
        <f>HYPERLINK("https://athena.uww.org/media/cache/person_default/uploads/images/crop/6605c9e17b542160732135.png")</f>
        <v>0</v>
      </c>
      <c r="I1090">
        <f>HYPERLINK("https://athena.uww.org/p/36960")</f>
        <v>0</v>
      </c>
    </row>
    <row r="1091" spans="1:9">
      <c r="A1091">
        <v>5493</v>
      </c>
      <c r="B1091" t="s">
        <v>1098</v>
      </c>
      <c r="C1091" t="s">
        <v>1339</v>
      </c>
      <c r="D1091" t="s">
        <v>1431</v>
      </c>
      <c r="E1091" t="s">
        <v>1440</v>
      </c>
      <c r="F1091" t="s">
        <v>2477</v>
      </c>
      <c r="G1091" t="b">
        <v>1</v>
      </c>
      <c r="H1091">
        <f>HYPERLINK("https://athena.uww.org/media/cache/person_default/uploads/images/crop/6391984ebc2f9143093616.png")</f>
        <v>0</v>
      </c>
      <c r="I1091">
        <f>HYPERLINK("https://athena.uww.org/p/5493")</f>
        <v>0</v>
      </c>
    </row>
    <row r="1092" spans="1:9">
      <c r="A1092">
        <v>10435</v>
      </c>
      <c r="B1092" t="s">
        <v>1099</v>
      </c>
      <c r="C1092" t="s">
        <v>1339</v>
      </c>
      <c r="D1092" t="s">
        <v>1431</v>
      </c>
      <c r="E1092" t="s">
        <v>1439</v>
      </c>
      <c r="F1092" t="s">
        <v>2478</v>
      </c>
      <c r="G1092" t="b">
        <v>1</v>
      </c>
      <c r="H1092">
        <f>HYPERLINK("https://athena.uww.org/media/cache/person_default/uploads/images/crop/5c9de14b074c4191605650.png")</f>
        <v>0</v>
      </c>
      <c r="I1092">
        <f>HYPERLINK("https://athena.uww.org/p/10435")</f>
        <v>0</v>
      </c>
    </row>
    <row r="1093" spans="1:9">
      <c r="A1093">
        <v>19132</v>
      </c>
      <c r="B1093" t="s">
        <v>1100</v>
      </c>
      <c r="C1093" t="s">
        <v>1339</v>
      </c>
      <c r="D1093" t="s">
        <v>1431</v>
      </c>
      <c r="E1093" t="s">
        <v>1442</v>
      </c>
      <c r="F1093" t="s">
        <v>2479</v>
      </c>
      <c r="G1093" t="b">
        <v>1</v>
      </c>
      <c r="H1093">
        <f>HYPERLINK("https://athena.uww.org/media/cache/person_default/uploads/images/crop/63eb2e0707fe1073533173.png")</f>
        <v>0</v>
      </c>
      <c r="I1093">
        <f>HYPERLINK("https://athena.uww.org/p/19132")</f>
        <v>0</v>
      </c>
    </row>
    <row r="1094" spans="1:9">
      <c r="A1094">
        <v>29084</v>
      </c>
      <c r="B1094" t="s">
        <v>1101</v>
      </c>
      <c r="C1094" t="s">
        <v>1339</v>
      </c>
      <c r="D1094" t="s">
        <v>1432</v>
      </c>
      <c r="E1094" t="s">
        <v>1440</v>
      </c>
      <c r="F1094" t="s">
        <v>2480</v>
      </c>
      <c r="G1094" t="b">
        <v>1</v>
      </c>
      <c r="H1094">
        <f>HYPERLINK("https://athena.uww.org/media/cache/person_default/uploads/images/crop/65c32d5e85d9c327661272.png")</f>
        <v>0</v>
      </c>
      <c r="I1094">
        <f>HYPERLINK("https://athena.uww.org/p/29084")</f>
        <v>0</v>
      </c>
    </row>
    <row r="1095" spans="1:9">
      <c r="A1095">
        <v>55656</v>
      </c>
      <c r="B1095" t="s">
        <v>1102</v>
      </c>
      <c r="C1095" t="s">
        <v>1339</v>
      </c>
      <c r="D1095" t="s">
        <v>1432</v>
      </c>
      <c r="E1095" t="s">
        <v>1441</v>
      </c>
      <c r="F1095" t="s">
        <v>2481</v>
      </c>
      <c r="G1095" t="b">
        <v>1</v>
      </c>
      <c r="H1095">
        <f>HYPERLINK("https://athena.uww.org/media/cache/person_default/uploads/images/crop/5ae6d9e8119d6.png")</f>
        <v>0</v>
      </c>
      <c r="I1095">
        <f>HYPERLINK("https://athena.uww.org/p/55656")</f>
        <v>0</v>
      </c>
    </row>
    <row r="1096" spans="1:9">
      <c r="A1096">
        <v>2926</v>
      </c>
      <c r="B1096" t="s">
        <v>1103</v>
      </c>
      <c r="C1096" t="s">
        <v>1339</v>
      </c>
      <c r="D1096" t="s">
        <v>1432</v>
      </c>
      <c r="E1096" t="s">
        <v>1441</v>
      </c>
      <c r="F1096" t="s">
        <v>2482</v>
      </c>
      <c r="G1096" t="b">
        <v>1</v>
      </c>
      <c r="H1096">
        <f>HYPERLINK("https://athena.uww.org/media/cache/person_default/uploads/images/crop/62ce659bcaee0320082733.png")</f>
        <v>0</v>
      </c>
      <c r="I1096">
        <f>HYPERLINK("https://athena.uww.org/p/2926")</f>
        <v>0</v>
      </c>
    </row>
    <row r="1097" spans="1:9">
      <c r="A1097">
        <v>46993</v>
      </c>
      <c r="B1097" t="s">
        <v>1104</v>
      </c>
      <c r="C1097" t="s">
        <v>1340</v>
      </c>
      <c r="D1097" t="s">
        <v>1432</v>
      </c>
      <c r="E1097" t="s">
        <v>1439</v>
      </c>
      <c r="F1097" t="s">
        <v>2483</v>
      </c>
      <c r="G1097" t="b">
        <v>1</v>
      </c>
      <c r="H1097">
        <f>HYPERLINK("https://athena.uww.org/media/cache/person_default/uploads/images/crop/645a26bca2bb4532608535.png")</f>
        <v>0</v>
      </c>
      <c r="I1097">
        <f>HYPERLINK("https://athena.uww.org/p/46993")</f>
        <v>0</v>
      </c>
    </row>
    <row r="1098" spans="1:9">
      <c r="A1098">
        <v>91067</v>
      </c>
      <c r="B1098" t="s">
        <v>1105</v>
      </c>
      <c r="C1098" t="s">
        <v>1339</v>
      </c>
      <c r="D1098" t="s">
        <v>1432</v>
      </c>
      <c r="E1098" t="s">
        <v>1439</v>
      </c>
      <c r="F1098" t="s">
        <v>2484</v>
      </c>
      <c r="G1098" t="b">
        <v>1</v>
      </c>
      <c r="H1098">
        <f>HYPERLINK("https://athena.uww.org/media/cache/person_default/uploads/images/645a098540845476444348.jpg")</f>
        <v>0</v>
      </c>
      <c r="I1098">
        <f>HYPERLINK("https://athena.uww.org/p/91067")</f>
        <v>0</v>
      </c>
    </row>
    <row r="1099" spans="1:9">
      <c r="A1099">
        <v>3988</v>
      </c>
      <c r="B1099" t="s">
        <v>1106</v>
      </c>
      <c r="C1099" t="s">
        <v>1340</v>
      </c>
      <c r="D1099" t="s">
        <v>1432</v>
      </c>
      <c r="E1099" t="s">
        <v>1442</v>
      </c>
      <c r="F1099" t="s">
        <v>2485</v>
      </c>
      <c r="G1099" t="b">
        <v>0</v>
      </c>
      <c r="H1099">
        <f>HYPERLINK("https://athena.uww.org/media/cache/person_default/uploads/images/crop/575fc0f3e67f6.png")</f>
        <v>0</v>
      </c>
      <c r="I1099">
        <f>HYPERLINK("https://athena.uww.org/p/3988")</f>
        <v>0</v>
      </c>
    </row>
    <row r="1100" spans="1:9">
      <c r="A1100">
        <v>2722</v>
      </c>
      <c r="B1100" t="s">
        <v>1107</v>
      </c>
      <c r="C1100" t="s">
        <v>1339</v>
      </c>
      <c r="D1100" t="s">
        <v>1432</v>
      </c>
      <c r="E1100" t="s">
        <v>1442</v>
      </c>
      <c r="F1100" t="s">
        <v>2486</v>
      </c>
      <c r="G1100" t="b">
        <v>1</v>
      </c>
      <c r="H1100">
        <f>HYPERLINK("https://athena.uww.org/media/cache/person_default/uploads/images/687628c0cf71e371592824.jpg")</f>
        <v>0</v>
      </c>
      <c r="I1100">
        <f>HYPERLINK("https://athena.uww.org/p/2722")</f>
        <v>0</v>
      </c>
    </row>
    <row r="1101" spans="1:9">
      <c r="A1101">
        <v>107956</v>
      </c>
      <c r="B1101" t="s">
        <v>1108</v>
      </c>
      <c r="C1101" t="s">
        <v>1339</v>
      </c>
      <c r="D1101" t="s">
        <v>1432</v>
      </c>
      <c r="E1101" t="s">
        <v>1442</v>
      </c>
      <c r="F1101" t="s">
        <v>2487</v>
      </c>
      <c r="G1101" t="b">
        <v>1</v>
      </c>
      <c r="H1101">
        <f>HYPERLINK("https://athena.uww.org/media/cache/person_default/uploads/images/crop/683407906500c376526598.png")</f>
        <v>0</v>
      </c>
      <c r="I1101">
        <f>HYPERLINK("https://athena.uww.org/p/107956")</f>
        <v>0</v>
      </c>
    </row>
    <row r="1102" spans="1:9">
      <c r="A1102">
        <v>38193</v>
      </c>
      <c r="B1102" t="s">
        <v>1109</v>
      </c>
      <c r="C1102" t="s">
        <v>1340</v>
      </c>
      <c r="D1102" t="s">
        <v>1432</v>
      </c>
      <c r="E1102" t="s">
        <v>1442</v>
      </c>
      <c r="F1102" t="s">
        <v>2488</v>
      </c>
      <c r="G1102" t="b">
        <v>1</v>
      </c>
      <c r="H1102">
        <f>HYPERLINK("https://athena.uww.org/media/cache/person_default/uploads/images/crop/575e901abbd8f.png")</f>
        <v>0</v>
      </c>
      <c r="I1102">
        <f>HYPERLINK("https://athena.uww.org/p/38193")</f>
        <v>0</v>
      </c>
    </row>
    <row r="1103" spans="1:9">
      <c r="A1103">
        <v>33215</v>
      </c>
      <c r="B1103" t="s">
        <v>1110</v>
      </c>
      <c r="C1103" t="s">
        <v>1339</v>
      </c>
      <c r="D1103" t="s">
        <v>1432</v>
      </c>
      <c r="E1103" t="s">
        <v>1442</v>
      </c>
      <c r="F1103" t="s">
        <v>2489</v>
      </c>
      <c r="G1103" t="b">
        <v>1</v>
      </c>
      <c r="H1103">
        <f>HYPERLINK("https://athena.uww.org/media/cache/person_default/uploads/images/crop/66599209e2d13316132039.png")</f>
        <v>0</v>
      </c>
      <c r="I1103">
        <f>HYPERLINK("https://athena.uww.org/p/33215")</f>
        <v>0</v>
      </c>
    </row>
    <row r="1104" spans="1:9">
      <c r="A1104">
        <v>101048</v>
      </c>
      <c r="B1104" t="s">
        <v>1111</v>
      </c>
      <c r="C1104" t="s">
        <v>1339</v>
      </c>
      <c r="D1104" t="s">
        <v>1432</v>
      </c>
      <c r="E1104" t="s">
        <v>1442</v>
      </c>
      <c r="F1104" t="s">
        <v>2490</v>
      </c>
      <c r="G1104" t="b">
        <v>1</v>
      </c>
      <c r="H1104">
        <f>HYPERLINK("https://athena.uww.org/media/cache/person_default/uploads/images/crop/66595e90558b6825024317.png")</f>
        <v>0</v>
      </c>
      <c r="I1104">
        <f>HYPERLINK("https://athena.uww.org/p/101048")</f>
        <v>0</v>
      </c>
    </row>
    <row r="1105" spans="1:9">
      <c r="A1105">
        <v>4619</v>
      </c>
      <c r="B1105" t="s">
        <v>1112</v>
      </c>
      <c r="C1105" t="s">
        <v>1339</v>
      </c>
      <c r="D1105" t="s">
        <v>1342</v>
      </c>
      <c r="E1105" t="s">
        <v>1440</v>
      </c>
      <c r="F1105" t="s">
        <v>2491</v>
      </c>
      <c r="G1105" t="b">
        <v>1</v>
      </c>
      <c r="H1105">
        <f>HYPERLINK("https://athena.uww.org/media/cache/person_default/uploads/images/crop/63cb9a044cc46171630580.png")</f>
        <v>0</v>
      </c>
      <c r="I1105">
        <f>HYPERLINK("https://athena.uww.org/p/4619")</f>
        <v>0</v>
      </c>
    </row>
    <row r="1106" spans="1:9">
      <c r="A1106">
        <v>4613</v>
      </c>
      <c r="B1106" t="s">
        <v>1113</v>
      </c>
      <c r="C1106" t="s">
        <v>1339</v>
      </c>
      <c r="D1106" t="s">
        <v>1342</v>
      </c>
      <c r="E1106" t="s">
        <v>1440</v>
      </c>
      <c r="F1106" t="s">
        <v>2492</v>
      </c>
      <c r="G1106" t="b">
        <v>1</v>
      </c>
      <c r="H1106">
        <f>HYPERLINK("https://athena.uww.org/media/cache/person_default/uploads/images/crop/689cd83b21f07422802990.png")</f>
        <v>0</v>
      </c>
      <c r="I1106">
        <f>HYPERLINK("https://athena.uww.org/p/4613")</f>
        <v>0</v>
      </c>
    </row>
    <row r="1107" spans="1:9">
      <c r="A1107">
        <v>4618</v>
      </c>
      <c r="B1107" t="s">
        <v>1114</v>
      </c>
      <c r="C1107" t="s">
        <v>1339</v>
      </c>
      <c r="D1107" t="s">
        <v>1342</v>
      </c>
      <c r="E1107" t="s">
        <v>1440</v>
      </c>
      <c r="F1107" t="s">
        <v>1919</v>
      </c>
      <c r="G1107" t="b">
        <v>1</v>
      </c>
      <c r="H1107">
        <f>HYPERLINK("https://athena.uww.org/media/cache/person_default/uploads/images/crop/63cba4b8d412d645919721.png")</f>
        <v>0</v>
      </c>
      <c r="I1107">
        <f>HYPERLINK("https://athena.uww.org/p/4618")</f>
        <v>0</v>
      </c>
    </row>
    <row r="1108" spans="1:9">
      <c r="A1108">
        <v>5494</v>
      </c>
      <c r="B1108" t="s">
        <v>1115</v>
      </c>
      <c r="C1108" t="s">
        <v>1339</v>
      </c>
      <c r="D1108" t="s">
        <v>1342</v>
      </c>
      <c r="E1108" t="s">
        <v>1441</v>
      </c>
      <c r="F1108" t="s">
        <v>2493</v>
      </c>
      <c r="G1108" t="b">
        <v>1</v>
      </c>
      <c r="H1108">
        <f>HYPERLINK("https://athena.uww.org/media/cache/person_default/uploads/images/crop/5afc571fbc7e2.png")</f>
        <v>0</v>
      </c>
      <c r="I1108">
        <f>HYPERLINK("https://athena.uww.org/p/5494")</f>
        <v>0</v>
      </c>
    </row>
    <row r="1109" spans="1:9">
      <c r="A1109">
        <v>81797</v>
      </c>
      <c r="B1109" t="s">
        <v>1116</v>
      </c>
      <c r="C1109" t="s">
        <v>1339</v>
      </c>
      <c r="D1109" t="s">
        <v>1342</v>
      </c>
      <c r="E1109" t="s">
        <v>1441</v>
      </c>
      <c r="F1109" t="s">
        <v>2494</v>
      </c>
      <c r="G1109" t="b">
        <v>1</v>
      </c>
      <c r="H1109">
        <f>HYPERLINK("https://athena.uww.org/media/cache/person_default/uploads/images/6261c3ef51021969242620.jpeg")</f>
        <v>0</v>
      </c>
      <c r="I1109">
        <f>HYPERLINK("https://athena.uww.org/p/81797")</f>
        <v>0</v>
      </c>
    </row>
    <row r="1110" spans="1:9">
      <c r="A1110">
        <v>3206</v>
      </c>
      <c r="B1110" t="s">
        <v>1117</v>
      </c>
      <c r="C1110" t="s">
        <v>1339</v>
      </c>
      <c r="D1110" t="s">
        <v>1342</v>
      </c>
      <c r="E1110" t="s">
        <v>1441</v>
      </c>
      <c r="F1110" t="s">
        <v>2495</v>
      </c>
      <c r="G1110" t="b">
        <v>1</v>
      </c>
      <c r="H1110">
        <f>HYPERLINK("https://athena.uww.org/media/cache/person_default/uploads/images/568a2a6f2dfb8.jpg")</f>
        <v>0</v>
      </c>
      <c r="I1110">
        <f>HYPERLINK("https://athena.uww.org/p/3206")</f>
        <v>0</v>
      </c>
    </row>
    <row r="1111" spans="1:9">
      <c r="A1111">
        <v>64270</v>
      </c>
      <c r="B1111" t="s">
        <v>1118</v>
      </c>
      <c r="C1111" t="s">
        <v>1339</v>
      </c>
      <c r="D1111" t="s">
        <v>1342</v>
      </c>
      <c r="E1111" t="s">
        <v>1442</v>
      </c>
      <c r="F1111" t="s">
        <v>2496</v>
      </c>
      <c r="G1111" t="b">
        <v>0</v>
      </c>
      <c r="H1111">
        <f>HYPERLINK("https://athena.uww.org/media/cache/person_default/uploads/images/crop/667ffd40e078d875648672.png")</f>
        <v>0</v>
      </c>
      <c r="I1111">
        <f>HYPERLINK("https://athena.uww.org/p/64270")</f>
        <v>0</v>
      </c>
    </row>
    <row r="1112" spans="1:9">
      <c r="A1112">
        <v>4605</v>
      </c>
      <c r="B1112" t="s">
        <v>1119</v>
      </c>
      <c r="C1112" t="s">
        <v>1339</v>
      </c>
      <c r="D1112" t="s">
        <v>1342</v>
      </c>
      <c r="E1112" t="s">
        <v>1442</v>
      </c>
      <c r="F1112" t="s">
        <v>2497</v>
      </c>
      <c r="G1112" t="b">
        <v>0</v>
      </c>
      <c r="H1112">
        <f>HYPERLINK("https://athena.uww.org/media/cache/person_default/uploads/images/568a2c1ca2d92.jpg")</f>
        <v>0</v>
      </c>
      <c r="I1112">
        <f>HYPERLINK("https://athena.uww.org/p/4605")</f>
        <v>0</v>
      </c>
    </row>
    <row r="1113" spans="1:9">
      <c r="A1113">
        <v>8124</v>
      </c>
      <c r="B1113" t="s">
        <v>1120</v>
      </c>
      <c r="C1113" t="s">
        <v>1339</v>
      </c>
      <c r="D1113" t="s">
        <v>1342</v>
      </c>
      <c r="E1113" t="s">
        <v>1442</v>
      </c>
      <c r="F1113" t="s">
        <v>2498</v>
      </c>
      <c r="G1113" t="b">
        <v>0</v>
      </c>
      <c r="H1113">
        <f>HYPERLINK("https://athena.uww.org/media/cache/person_default/uploads/images/1133090289001.jpg")</f>
        <v>0</v>
      </c>
      <c r="I1113">
        <f>HYPERLINK("https://athena.uww.org/p/8124")</f>
        <v>0</v>
      </c>
    </row>
    <row r="1114" spans="1:9">
      <c r="A1114">
        <v>64268</v>
      </c>
      <c r="B1114" t="s">
        <v>1121</v>
      </c>
      <c r="C1114" t="s">
        <v>1340</v>
      </c>
      <c r="D1114" t="s">
        <v>1342</v>
      </c>
      <c r="E1114" t="s">
        <v>1442</v>
      </c>
      <c r="F1114" t="s">
        <v>2499</v>
      </c>
      <c r="G1114" t="b">
        <v>0</v>
      </c>
      <c r="H1114">
        <f>HYPERLINK("https://athena.uww.org/media/cache/person_default/uploads/images/crop/5c91d6bf9e070005063106.png")</f>
        <v>0</v>
      </c>
      <c r="I1114">
        <f>HYPERLINK("https://athena.uww.org/p/64268")</f>
        <v>0</v>
      </c>
    </row>
    <row r="1115" spans="1:9">
      <c r="A1115">
        <v>64284</v>
      </c>
      <c r="B1115" t="s">
        <v>1122</v>
      </c>
      <c r="C1115" t="s">
        <v>1339</v>
      </c>
      <c r="D1115" t="s">
        <v>1342</v>
      </c>
      <c r="E1115" t="s">
        <v>1442</v>
      </c>
      <c r="F1115" t="s">
        <v>2500</v>
      </c>
      <c r="G1115" t="b">
        <v>0</v>
      </c>
      <c r="H1115">
        <f>HYPERLINK("https://athena.uww.org/media/cache/person_default/uploads/images/crop/635b9860e2862331118991.png")</f>
        <v>0</v>
      </c>
      <c r="I1115">
        <f>HYPERLINK("https://athena.uww.org/p/64284")</f>
        <v>0</v>
      </c>
    </row>
    <row r="1116" spans="1:9">
      <c r="A1116">
        <v>101764</v>
      </c>
      <c r="B1116" t="s">
        <v>1123</v>
      </c>
      <c r="C1116" t="s">
        <v>1340</v>
      </c>
      <c r="D1116" t="s">
        <v>1342</v>
      </c>
      <c r="E1116" t="s">
        <v>1442</v>
      </c>
      <c r="F1116" t="s">
        <v>2501</v>
      </c>
      <c r="G1116" t="b">
        <v>0</v>
      </c>
      <c r="H1116">
        <f>HYPERLINK("https://athena.uww.org/media/cache/person_default/uploads/images/crop/66750e5e14599385480173.png")</f>
        <v>0</v>
      </c>
      <c r="I1116">
        <f>HYPERLINK("https://athena.uww.org/p/101764")</f>
        <v>0</v>
      </c>
    </row>
    <row r="1117" spans="1:9">
      <c r="A1117">
        <v>4433</v>
      </c>
      <c r="B1117" t="s">
        <v>1124</v>
      </c>
      <c r="C1117" t="s">
        <v>1339</v>
      </c>
      <c r="D1117" t="s">
        <v>1343</v>
      </c>
      <c r="E1117" t="s">
        <v>1440</v>
      </c>
      <c r="F1117" t="s">
        <v>2502</v>
      </c>
      <c r="G1117" t="b">
        <v>1</v>
      </c>
      <c r="H1117">
        <f>HYPERLINK("https://athena.uww.org/media/cache/person_default/uploads/images/crop/63cfd2f7d5354119349227.png")</f>
        <v>0</v>
      </c>
      <c r="I1117">
        <f>HYPERLINK("https://athena.uww.org/p/4433")</f>
        <v>0</v>
      </c>
    </row>
    <row r="1118" spans="1:9">
      <c r="A1118">
        <v>4793</v>
      </c>
      <c r="B1118" t="s">
        <v>1125</v>
      </c>
      <c r="C1118" t="s">
        <v>1339</v>
      </c>
      <c r="D1118" t="s">
        <v>1343</v>
      </c>
      <c r="E1118" t="s">
        <v>1440</v>
      </c>
      <c r="F1118" t="s">
        <v>2503</v>
      </c>
      <c r="G1118" t="b">
        <v>1</v>
      </c>
      <c r="H1118">
        <f>HYPERLINK("https://athena.uww.org/media/cache/person_default/uploads/images/crop/63cb9c149dd14398135491.png")</f>
        <v>0</v>
      </c>
      <c r="I1118">
        <f>HYPERLINK("https://athena.uww.org/p/4793")</f>
        <v>0</v>
      </c>
    </row>
    <row r="1119" spans="1:9">
      <c r="A1119">
        <v>4542</v>
      </c>
      <c r="B1119" t="s">
        <v>1126</v>
      </c>
      <c r="C1119" t="s">
        <v>1339</v>
      </c>
      <c r="D1119" t="s">
        <v>1343</v>
      </c>
      <c r="E1119" t="s">
        <v>1440</v>
      </c>
      <c r="F1119" t="s">
        <v>2504</v>
      </c>
      <c r="G1119" t="b">
        <v>1</v>
      </c>
      <c r="H1119">
        <f>HYPERLINK("https://athena.uww.org/media/cache/person_default/uploads/images/crop/63cb9c2b951d1320071946.png")</f>
        <v>0</v>
      </c>
      <c r="I1119">
        <f>HYPERLINK("https://athena.uww.org/p/4542")</f>
        <v>0</v>
      </c>
    </row>
    <row r="1120" spans="1:9">
      <c r="A1120">
        <v>5180</v>
      </c>
      <c r="B1120" t="s">
        <v>1127</v>
      </c>
      <c r="C1120" t="s">
        <v>1339</v>
      </c>
      <c r="D1120" t="s">
        <v>1343</v>
      </c>
      <c r="E1120" t="s">
        <v>1440</v>
      </c>
      <c r="F1120" t="s">
        <v>2505</v>
      </c>
      <c r="G1120" t="b">
        <v>1</v>
      </c>
      <c r="H1120">
        <f>HYPERLINK("https://athena.uww.org/media/cache/person_default/uploads/images/crop/63cb9bfdd8a83053947515.png")</f>
        <v>0</v>
      </c>
      <c r="I1120">
        <f>HYPERLINK("https://athena.uww.org/p/5180")</f>
        <v>0</v>
      </c>
    </row>
    <row r="1121" spans="1:9">
      <c r="A1121">
        <v>5457</v>
      </c>
      <c r="B1121" t="s">
        <v>1128</v>
      </c>
      <c r="C1121" t="s">
        <v>1339</v>
      </c>
      <c r="D1121" t="s">
        <v>1343</v>
      </c>
      <c r="E1121" t="s">
        <v>1441</v>
      </c>
      <c r="F1121" t="s">
        <v>2506</v>
      </c>
      <c r="G1121" t="b">
        <v>1</v>
      </c>
      <c r="H1121">
        <f>HYPERLINK("https://athena.uww.org/media/cache/person_default/uploads/images/referee-5457.jpg")</f>
        <v>0</v>
      </c>
      <c r="I1121">
        <f>HYPERLINK("https://athena.uww.org/p/5457")</f>
        <v>0</v>
      </c>
    </row>
    <row r="1122" spans="1:9">
      <c r="A1122">
        <v>4174</v>
      </c>
      <c r="B1122" t="s">
        <v>1129</v>
      </c>
      <c r="C1122" t="s">
        <v>1339</v>
      </c>
      <c r="D1122" t="s">
        <v>1343</v>
      </c>
      <c r="E1122" t="s">
        <v>1441</v>
      </c>
      <c r="F1122" t="s">
        <v>2507</v>
      </c>
      <c r="G1122" t="b">
        <v>1</v>
      </c>
      <c r="H1122">
        <f>HYPERLINK("https://athena.uww.org/media/cache/person_default/uploads/images/referee-4174.jpg")</f>
        <v>0</v>
      </c>
      <c r="I1122">
        <f>HYPERLINK("https://athena.uww.org/p/4174")</f>
        <v>0</v>
      </c>
    </row>
    <row r="1123" spans="1:9">
      <c r="A1123">
        <v>5261</v>
      </c>
      <c r="B1123" t="s">
        <v>1130</v>
      </c>
      <c r="C1123" t="s">
        <v>1339</v>
      </c>
      <c r="D1123" t="s">
        <v>1343</v>
      </c>
      <c r="E1123" t="s">
        <v>1441</v>
      </c>
      <c r="F1123" t="s">
        <v>2508</v>
      </c>
      <c r="G1123" t="b">
        <v>1</v>
      </c>
      <c r="H1123">
        <f>HYPERLINK("https://athena.uww.org/media/cache/person_default/uploads/images/referee-5261.jpg")</f>
        <v>0</v>
      </c>
      <c r="I1123">
        <f>HYPERLINK("https://athena.uww.org/p/5261")</f>
        <v>0</v>
      </c>
    </row>
    <row r="1124" spans="1:9">
      <c r="A1124">
        <v>4366</v>
      </c>
      <c r="B1124" t="s">
        <v>1131</v>
      </c>
      <c r="C1124" t="s">
        <v>1339</v>
      </c>
      <c r="D1124" t="s">
        <v>1343</v>
      </c>
      <c r="E1124" t="s">
        <v>1441</v>
      </c>
      <c r="F1124" t="s">
        <v>2509</v>
      </c>
      <c r="G1124" t="b">
        <v>1</v>
      </c>
      <c r="H1124">
        <f>HYPERLINK("https://athena.uww.org/media/cache/person_default/uploads/images/568b79e412ada.jpg")</f>
        <v>0</v>
      </c>
      <c r="I1124">
        <f>HYPERLINK("https://athena.uww.org/p/4366")</f>
        <v>0</v>
      </c>
    </row>
    <row r="1125" spans="1:9">
      <c r="A1125">
        <v>5566</v>
      </c>
      <c r="B1125" t="s">
        <v>1132</v>
      </c>
      <c r="C1125" t="s">
        <v>1339</v>
      </c>
      <c r="D1125" t="s">
        <v>1343</v>
      </c>
      <c r="E1125" t="s">
        <v>1441</v>
      </c>
      <c r="F1125" t="s">
        <v>2510</v>
      </c>
      <c r="G1125" t="b">
        <v>1</v>
      </c>
      <c r="H1125">
        <f>HYPERLINK("https://athena.uww.org/media/cache/person_default/uploads/images/referee-5566.jpg")</f>
        <v>0</v>
      </c>
      <c r="I1125">
        <f>HYPERLINK("https://athena.uww.org/p/5566")</f>
        <v>0</v>
      </c>
    </row>
    <row r="1126" spans="1:9">
      <c r="A1126">
        <v>4961</v>
      </c>
      <c r="B1126" t="s">
        <v>1133</v>
      </c>
      <c r="C1126" t="s">
        <v>1339</v>
      </c>
      <c r="D1126" t="s">
        <v>1343</v>
      </c>
      <c r="E1126" t="s">
        <v>1441</v>
      </c>
      <c r="F1126" t="s">
        <v>2511</v>
      </c>
      <c r="G1126" t="b">
        <v>1</v>
      </c>
      <c r="H1126">
        <f>HYPERLINK("https://athena.uww.org/media/cache/person_default/uploads/images/5672d5a156fc2.jpg")</f>
        <v>0</v>
      </c>
      <c r="I1126">
        <f>HYPERLINK("https://athena.uww.org/p/4961")</f>
        <v>0</v>
      </c>
    </row>
    <row r="1127" spans="1:9">
      <c r="A1127">
        <v>5458</v>
      </c>
      <c r="B1127" t="s">
        <v>1134</v>
      </c>
      <c r="C1127" t="s">
        <v>1339</v>
      </c>
      <c r="D1127" t="s">
        <v>1343</v>
      </c>
      <c r="E1127" t="s">
        <v>1441</v>
      </c>
      <c r="F1127" t="s">
        <v>2512</v>
      </c>
      <c r="G1127" t="b">
        <v>1</v>
      </c>
      <c r="H1127">
        <f>HYPERLINK("https://athena.uww.org/media/cache/person_default/uploads/images/referee-5458.jpg")</f>
        <v>0</v>
      </c>
      <c r="I1127">
        <f>HYPERLINK("https://athena.uww.org/p/5458")</f>
        <v>0</v>
      </c>
    </row>
    <row r="1128" spans="1:9">
      <c r="A1128">
        <v>5181</v>
      </c>
      <c r="B1128" t="s">
        <v>1135</v>
      </c>
      <c r="C1128" t="s">
        <v>1339</v>
      </c>
      <c r="D1128" t="s">
        <v>1343</v>
      </c>
      <c r="E1128" t="s">
        <v>1441</v>
      </c>
      <c r="F1128" t="s">
        <v>2513</v>
      </c>
      <c r="G1128" t="b">
        <v>1</v>
      </c>
      <c r="H1128">
        <f>HYPERLINK("https://athena.uww.org/media/cache/person_default/uploads/images/crop/5cf4cff2d5c76184537465.png")</f>
        <v>0</v>
      </c>
      <c r="I1128">
        <f>HYPERLINK("https://athena.uww.org/p/5181")</f>
        <v>0</v>
      </c>
    </row>
    <row r="1129" spans="1:9">
      <c r="A1129">
        <v>4238</v>
      </c>
      <c r="B1129" t="s">
        <v>1136</v>
      </c>
      <c r="C1129" t="s">
        <v>1339</v>
      </c>
      <c r="D1129" t="s">
        <v>1343</v>
      </c>
      <c r="E1129" t="s">
        <v>1441</v>
      </c>
      <c r="F1129" t="s">
        <v>2514</v>
      </c>
      <c r="G1129" t="b">
        <v>1</v>
      </c>
      <c r="H1129">
        <f>HYPERLINK("https://athena.uww.org/media/cache/person_default/uploads/images/crop/57512eae2db06.png")</f>
        <v>0</v>
      </c>
      <c r="I1129">
        <f>HYPERLINK("https://athena.uww.org/p/4238")</f>
        <v>0</v>
      </c>
    </row>
    <row r="1130" spans="1:9">
      <c r="A1130">
        <v>4604</v>
      </c>
      <c r="B1130" t="s">
        <v>1137</v>
      </c>
      <c r="C1130" t="s">
        <v>1339</v>
      </c>
      <c r="D1130" t="s">
        <v>1343</v>
      </c>
      <c r="E1130" t="s">
        <v>1441</v>
      </c>
      <c r="F1130" t="s">
        <v>2515</v>
      </c>
      <c r="G1130" t="b">
        <v>1</v>
      </c>
      <c r="H1130">
        <f>HYPERLINK("https://athena.uww.org/media/cache/person_default/uploads/images/referee-4604.jpg")</f>
        <v>0</v>
      </c>
      <c r="I1130">
        <f>HYPERLINK("https://athena.uww.org/p/4604")</f>
        <v>0</v>
      </c>
    </row>
    <row r="1131" spans="1:9">
      <c r="A1131">
        <v>5459</v>
      </c>
      <c r="B1131" t="s">
        <v>1138</v>
      </c>
      <c r="C1131" t="s">
        <v>1339</v>
      </c>
      <c r="D1131" t="s">
        <v>1343</v>
      </c>
      <c r="E1131" t="s">
        <v>1441</v>
      </c>
      <c r="F1131" t="s">
        <v>2516</v>
      </c>
      <c r="G1131" t="b">
        <v>1</v>
      </c>
      <c r="H1131">
        <f>HYPERLINK("https://athena.uww.org/media/cache/person_default/uploads/images/referee-5459.jpg")</f>
        <v>0</v>
      </c>
      <c r="I1131">
        <f>HYPERLINK("https://athena.uww.org/p/5459")</f>
        <v>0</v>
      </c>
    </row>
    <row r="1132" spans="1:9">
      <c r="A1132">
        <v>4543</v>
      </c>
      <c r="B1132" t="s">
        <v>1139</v>
      </c>
      <c r="C1132" t="s">
        <v>1339</v>
      </c>
      <c r="D1132" t="s">
        <v>1343</v>
      </c>
      <c r="E1132" t="s">
        <v>1441</v>
      </c>
      <c r="F1132" t="s">
        <v>2517</v>
      </c>
      <c r="G1132" t="b">
        <v>1</v>
      </c>
      <c r="H1132">
        <f>HYPERLINK("https://athena.uww.org/media/cache/person_default/uploads/images/568b7a9dc8862.jpg")</f>
        <v>0</v>
      </c>
      <c r="I1132">
        <f>HYPERLINK("https://athena.uww.org/p/4543")</f>
        <v>0</v>
      </c>
    </row>
    <row r="1133" spans="1:9">
      <c r="A1133">
        <v>4544</v>
      </c>
      <c r="B1133" t="s">
        <v>1140</v>
      </c>
      <c r="C1133" t="s">
        <v>1339</v>
      </c>
      <c r="D1133" t="s">
        <v>1343</v>
      </c>
      <c r="E1133" t="s">
        <v>1441</v>
      </c>
      <c r="F1133" t="s">
        <v>2518</v>
      </c>
      <c r="G1133" t="b">
        <v>1</v>
      </c>
      <c r="H1133">
        <f>HYPERLINK("https://athena.uww.org/media/cache/person_default/uploads/images/5681438b0f8be.jpg")</f>
        <v>0</v>
      </c>
      <c r="I1133">
        <f>HYPERLINK("https://athena.uww.org/p/4544")</f>
        <v>0</v>
      </c>
    </row>
    <row r="1134" spans="1:9">
      <c r="A1134">
        <v>4545</v>
      </c>
      <c r="B1134" t="s">
        <v>1141</v>
      </c>
      <c r="C1134" t="s">
        <v>1339</v>
      </c>
      <c r="D1134" t="s">
        <v>1343</v>
      </c>
      <c r="E1134" t="s">
        <v>1441</v>
      </c>
      <c r="F1134" t="s">
        <v>2519</v>
      </c>
      <c r="G1134" t="b">
        <v>1</v>
      </c>
      <c r="H1134">
        <f>HYPERLINK("https://athena.uww.org/media/cache/person_default/uploads/images/568146548baa6.jpg")</f>
        <v>0</v>
      </c>
      <c r="I1134">
        <f>HYPERLINK("https://athena.uww.org/p/4545")</f>
        <v>0</v>
      </c>
    </row>
    <row r="1135" spans="1:9">
      <c r="A1135">
        <v>5281</v>
      </c>
      <c r="B1135" t="s">
        <v>1142</v>
      </c>
      <c r="C1135" t="s">
        <v>1339</v>
      </c>
      <c r="D1135" t="s">
        <v>1343</v>
      </c>
      <c r="E1135" t="s">
        <v>1441</v>
      </c>
      <c r="F1135" t="s">
        <v>1821</v>
      </c>
      <c r="G1135" t="b">
        <v>1</v>
      </c>
      <c r="H1135">
        <f>HYPERLINK("https://athena.uww.org/media/cache/person_default/uploads/images/referee-5281.jpg")</f>
        <v>0</v>
      </c>
      <c r="I1135">
        <f>HYPERLINK("https://athena.uww.org/p/5281")</f>
        <v>0</v>
      </c>
    </row>
    <row r="1136" spans="1:9">
      <c r="A1136">
        <v>4979</v>
      </c>
      <c r="B1136" t="s">
        <v>1143</v>
      </c>
      <c r="C1136" t="s">
        <v>1339</v>
      </c>
      <c r="D1136" t="s">
        <v>1343</v>
      </c>
      <c r="E1136" t="s">
        <v>1441</v>
      </c>
      <c r="F1136" t="s">
        <v>2520</v>
      </c>
      <c r="G1136" t="b">
        <v>1</v>
      </c>
      <c r="H1136">
        <f>HYPERLINK("https://athena.uww.org/media/cache/person_default/uploads/images/crop/67ce9d33dbc6d030486010.png")</f>
        <v>0</v>
      </c>
      <c r="I1136">
        <f>HYPERLINK("https://athena.uww.org/p/4979")</f>
        <v>0</v>
      </c>
    </row>
    <row r="1137" spans="1:9">
      <c r="A1137">
        <v>5260</v>
      </c>
      <c r="B1137" t="s">
        <v>1144</v>
      </c>
      <c r="C1137" t="s">
        <v>1339</v>
      </c>
      <c r="D1137" t="s">
        <v>1343</v>
      </c>
      <c r="E1137" t="s">
        <v>1441</v>
      </c>
      <c r="F1137" t="s">
        <v>1788</v>
      </c>
      <c r="G1137" t="b">
        <v>1</v>
      </c>
      <c r="H1137">
        <f>HYPERLINK("https://athena.uww.org/media/cache/person_default/uploads/images/crop/6242a1424bc05619690127.png")</f>
        <v>0</v>
      </c>
      <c r="I1137">
        <f>HYPERLINK("https://athena.uww.org/p/5260")</f>
        <v>0</v>
      </c>
    </row>
    <row r="1138" spans="1:9">
      <c r="A1138">
        <v>5235</v>
      </c>
      <c r="B1138" t="s">
        <v>1145</v>
      </c>
      <c r="C1138" t="s">
        <v>1339</v>
      </c>
      <c r="D1138" t="s">
        <v>1343</v>
      </c>
      <c r="E1138" t="s">
        <v>1441</v>
      </c>
      <c r="F1138" t="s">
        <v>2521</v>
      </c>
      <c r="G1138" t="b">
        <v>1</v>
      </c>
      <c r="H1138">
        <f>HYPERLINK("https://athena.uww.org/media/cache/person_default/uploads/images/referee-5235.jpg")</f>
        <v>0</v>
      </c>
      <c r="I1138">
        <f>HYPERLINK("https://athena.uww.org/p/5235")</f>
        <v>0</v>
      </c>
    </row>
    <row r="1139" spans="1:9">
      <c r="A1139">
        <v>5182</v>
      </c>
      <c r="B1139" t="s">
        <v>1146</v>
      </c>
      <c r="C1139" t="s">
        <v>1339</v>
      </c>
      <c r="D1139" t="s">
        <v>1343</v>
      </c>
      <c r="E1139" t="s">
        <v>1441</v>
      </c>
      <c r="F1139" t="s">
        <v>2522</v>
      </c>
      <c r="G1139" t="b">
        <v>1</v>
      </c>
      <c r="H1139">
        <f>HYPERLINK("https://athena.uww.org/media/cache/person_default/uploads/images/referee-5182.jpg")</f>
        <v>0</v>
      </c>
      <c r="I1139">
        <f>HYPERLINK("https://athena.uww.org/p/5182")</f>
        <v>0</v>
      </c>
    </row>
    <row r="1140" spans="1:9">
      <c r="A1140">
        <v>5303</v>
      </c>
      <c r="B1140" t="s">
        <v>1147</v>
      </c>
      <c r="C1140" t="s">
        <v>1339</v>
      </c>
      <c r="D1140" t="s">
        <v>1343</v>
      </c>
      <c r="E1140" t="s">
        <v>1441</v>
      </c>
      <c r="F1140" t="s">
        <v>2523</v>
      </c>
      <c r="G1140" t="b">
        <v>1</v>
      </c>
      <c r="H1140">
        <f>HYPERLINK("https://athena.uww.org/media/cache/person_default/uploads/images/crop/5cf4cf2132252480141918.png")</f>
        <v>0</v>
      </c>
      <c r="I1140">
        <f>HYPERLINK("https://athena.uww.org/p/5303")</f>
        <v>0</v>
      </c>
    </row>
    <row r="1141" spans="1:9">
      <c r="A1141">
        <v>5567</v>
      </c>
      <c r="B1141" t="s">
        <v>1148</v>
      </c>
      <c r="C1141" t="s">
        <v>1339</v>
      </c>
      <c r="D1141" t="s">
        <v>1343</v>
      </c>
      <c r="E1141" t="s">
        <v>1441</v>
      </c>
      <c r="F1141" t="s">
        <v>2524</v>
      </c>
      <c r="G1141" t="b">
        <v>1</v>
      </c>
      <c r="H1141">
        <f>HYPERLINK("https://athena.uww.org/media/cache/person_default/uploads/images/referee-5567.jpg")</f>
        <v>0</v>
      </c>
      <c r="I1141">
        <f>HYPERLINK("https://athena.uww.org/p/5567")</f>
        <v>0</v>
      </c>
    </row>
    <row r="1142" spans="1:9">
      <c r="A1142">
        <v>4962</v>
      </c>
      <c r="B1142" t="s">
        <v>1149</v>
      </c>
      <c r="C1142" t="s">
        <v>1339</v>
      </c>
      <c r="D1142" t="s">
        <v>1343</v>
      </c>
      <c r="E1142" t="s">
        <v>1441</v>
      </c>
      <c r="F1142" t="s">
        <v>2525</v>
      </c>
      <c r="G1142" t="b">
        <v>1</v>
      </c>
      <c r="H1142">
        <f>HYPERLINK("https://athena.uww.org/media/cache/person_default/uploads/images/referee-4962.jpg")</f>
        <v>0</v>
      </c>
      <c r="I1142">
        <f>HYPERLINK("https://athena.uww.org/p/4962")</f>
        <v>0</v>
      </c>
    </row>
    <row r="1143" spans="1:9">
      <c r="A1143">
        <v>5517</v>
      </c>
      <c r="B1143" t="s">
        <v>1150</v>
      </c>
      <c r="C1143" t="s">
        <v>1339</v>
      </c>
      <c r="D1143" t="s">
        <v>1343</v>
      </c>
      <c r="E1143" t="s">
        <v>1441</v>
      </c>
      <c r="F1143" t="s">
        <v>2526</v>
      </c>
      <c r="G1143" t="b">
        <v>1</v>
      </c>
      <c r="H1143">
        <f>HYPERLINK("https://athena.uww.org/media/cache/person_default/uploads/images/referee-5517.jpg")</f>
        <v>0</v>
      </c>
      <c r="I1143">
        <f>HYPERLINK("https://athena.uww.org/p/5517")</f>
        <v>0</v>
      </c>
    </row>
    <row r="1144" spans="1:9">
      <c r="A1144">
        <v>4592</v>
      </c>
      <c r="B1144" t="s">
        <v>1151</v>
      </c>
      <c r="C1144" t="s">
        <v>1339</v>
      </c>
      <c r="D1144" t="s">
        <v>1343</v>
      </c>
      <c r="E1144" t="s">
        <v>1441</v>
      </c>
      <c r="F1144" t="s">
        <v>2527</v>
      </c>
      <c r="G1144" t="b">
        <v>1</v>
      </c>
      <c r="H1144">
        <f>HYPERLINK("https://athena.uww.org/media/cache/person_default/uploads/images/crop/60ddd862400e0936016645.png")</f>
        <v>0</v>
      </c>
      <c r="I1144">
        <f>HYPERLINK("https://athena.uww.org/p/4592")</f>
        <v>0</v>
      </c>
    </row>
    <row r="1145" spans="1:9">
      <c r="A1145">
        <v>5565</v>
      </c>
      <c r="B1145" t="s">
        <v>1152</v>
      </c>
      <c r="C1145" t="s">
        <v>1339</v>
      </c>
      <c r="D1145" t="s">
        <v>1343</v>
      </c>
      <c r="E1145" t="s">
        <v>1439</v>
      </c>
      <c r="F1145" t="s">
        <v>2111</v>
      </c>
      <c r="G1145" t="b">
        <v>1</v>
      </c>
      <c r="H1145">
        <f>HYPERLINK("https://athena.uww.org/media/cache/person_default/uploads/images/56b071d28cd78.jpg")</f>
        <v>0</v>
      </c>
      <c r="I1145">
        <f>HYPERLINK("https://athena.uww.org/p/5565")</f>
        <v>0</v>
      </c>
    </row>
    <row r="1146" spans="1:9">
      <c r="A1146">
        <v>4434</v>
      </c>
      <c r="B1146" t="s">
        <v>1153</v>
      </c>
      <c r="C1146" t="s">
        <v>1339</v>
      </c>
      <c r="D1146" t="s">
        <v>1343</v>
      </c>
      <c r="E1146" t="s">
        <v>1439</v>
      </c>
      <c r="F1146" t="s">
        <v>2528</v>
      </c>
      <c r="G1146" t="b">
        <v>1</v>
      </c>
      <c r="H1146">
        <f>HYPERLINK("https://athena.uww.org/media/cache/person_default/uploads/images/568b795c02bf2.jpg")</f>
        <v>0</v>
      </c>
      <c r="I1146">
        <f>HYPERLINK("https://athena.uww.org/p/4434")</f>
        <v>0</v>
      </c>
    </row>
    <row r="1147" spans="1:9">
      <c r="A1147">
        <v>51684</v>
      </c>
      <c r="B1147" t="s">
        <v>1154</v>
      </c>
      <c r="C1147" t="s">
        <v>1339</v>
      </c>
      <c r="D1147" t="s">
        <v>1343</v>
      </c>
      <c r="E1147" t="s">
        <v>1439</v>
      </c>
      <c r="F1147" t="s">
        <v>2529</v>
      </c>
      <c r="G1147" t="b">
        <v>1</v>
      </c>
      <c r="H1147">
        <f>HYPERLINK("https://athena.uww.org/media/cache/person_default/uploads/images/59db4036e1d4e.jpeg")</f>
        <v>0</v>
      </c>
      <c r="I1147">
        <f>HYPERLINK("https://athena.uww.org/p/51684")</f>
        <v>0</v>
      </c>
    </row>
    <row r="1148" spans="1:9">
      <c r="A1148">
        <v>76</v>
      </c>
      <c r="B1148" t="s">
        <v>1155</v>
      </c>
      <c r="C1148" t="s">
        <v>1339</v>
      </c>
      <c r="D1148" t="s">
        <v>1343</v>
      </c>
      <c r="E1148" t="s">
        <v>1439</v>
      </c>
      <c r="F1148" t="s">
        <v>2530</v>
      </c>
      <c r="G1148" t="b">
        <v>1</v>
      </c>
      <c r="H1148">
        <f>HYPERLINK("https://athena.uww.org/media/cache/person_default/uploads/images/567a99cdc4ced.jpg")</f>
        <v>0</v>
      </c>
      <c r="I1148">
        <f>HYPERLINK("https://athena.uww.org/p/76")</f>
        <v>0</v>
      </c>
    </row>
    <row r="1149" spans="1:9">
      <c r="A1149">
        <v>5234</v>
      </c>
      <c r="B1149" t="s">
        <v>1156</v>
      </c>
      <c r="C1149" t="s">
        <v>1339</v>
      </c>
      <c r="D1149" t="s">
        <v>1343</v>
      </c>
      <c r="E1149" t="s">
        <v>1439</v>
      </c>
      <c r="F1149" t="s">
        <v>2531</v>
      </c>
      <c r="G1149" t="b">
        <v>1</v>
      </c>
      <c r="H1149">
        <f>HYPERLINK("https://athena.uww.org/media/cache/person_default/uploads/images/referee-5234.jpg")</f>
        <v>0</v>
      </c>
      <c r="I1149">
        <f>HYPERLINK("https://athena.uww.org/p/5234")</f>
        <v>0</v>
      </c>
    </row>
    <row r="1150" spans="1:9">
      <c r="A1150">
        <v>3821</v>
      </c>
      <c r="B1150" t="s">
        <v>1157</v>
      </c>
      <c r="C1150" t="s">
        <v>1339</v>
      </c>
      <c r="D1150" t="s">
        <v>1343</v>
      </c>
      <c r="E1150" t="s">
        <v>1439</v>
      </c>
      <c r="F1150" t="s">
        <v>2532</v>
      </c>
      <c r="G1150" t="b">
        <v>1</v>
      </c>
      <c r="H1150">
        <f>HYPERLINK("https://athena.uww.org/media/cache/person_default/uploads/images/crop/5cf4d042179c0026828198.png")</f>
        <v>0</v>
      </c>
      <c r="I1150">
        <f>HYPERLINK("https://athena.uww.org/p/3821")</f>
        <v>0</v>
      </c>
    </row>
    <row r="1151" spans="1:9">
      <c r="A1151">
        <v>51682</v>
      </c>
      <c r="B1151" t="s">
        <v>1158</v>
      </c>
      <c r="C1151" t="s">
        <v>1339</v>
      </c>
      <c r="D1151" t="s">
        <v>1343</v>
      </c>
      <c r="E1151" t="s">
        <v>1439</v>
      </c>
      <c r="F1151" t="s">
        <v>2533</v>
      </c>
      <c r="G1151" t="b">
        <v>1</v>
      </c>
      <c r="H1151">
        <f>HYPERLINK("https://athena.uww.org/media/cache/person_default/uploads/images/59db3e2793bd9.jpeg")</f>
        <v>0</v>
      </c>
      <c r="I1151">
        <f>HYPERLINK("https://athena.uww.org/p/51682")</f>
        <v>0</v>
      </c>
    </row>
    <row r="1152" spans="1:9">
      <c r="A1152">
        <v>41834</v>
      </c>
      <c r="B1152" t="s">
        <v>1159</v>
      </c>
      <c r="C1152" t="s">
        <v>1339</v>
      </c>
      <c r="D1152" t="s">
        <v>1343</v>
      </c>
      <c r="E1152" t="s">
        <v>1439</v>
      </c>
      <c r="F1152" t="s">
        <v>1785</v>
      </c>
      <c r="G1152" t="b">
        <v>1</v>
      </c>
      <c r="H1152">
        <f>HYPERLINK("https://athena.uww.org/media/cache/person_default/uploads/images/crop/580f6018e84ae.png")</f>
        <v>0</v>
      </c>
      <c r="I1152">
        <f>HYPERLINK("https://athena.uww.org/p/41834")</f>
        <v>0</v>
      </c>
    </row>
    <row r="1153" spans="1:9">
      <c r="A1153">
        <v>77</v>
      </c>
      <c r="B1153" t="s">
        <v>1160</v>
      </c>
      <c r="C1153" t="s">
        <v>1339</v>
      </c>
      <c r="D1153" t="s">
        <v>1343</v>
      </c>
      <c r="E1153" t="s">
        <v>1439</v>
      </c>
      <c r="F1153" t="s">
        <v>2534</v>
      </c>
      <c r="G1153" t="b">
        <v>1</v>
      </c>
      <c r="H1153">
        <f>HYPERLINK("https://athena.uww.org/media/cache/person_default/uploads/images/567a99f79a3ee.jpg")</f>
        <v>0</v>
      </c>
      <c r="I1153">
        <f>HYPERLINK("https://athena.uww.org/p/77")</f>
        <v>0</v>
      </c>
    </row>
    <row r="1154" spans="1:9">
      <c r="A1154">
        <v>4591</v>
      </c>
      <c r="B1154" t="s">
        <v>1161</v>
      </c>
      <c r="C1154" t="s">
        <v>1339</v>
      </c>
      <c r="D1154" t="s">
        <v>1343</v>
      </c>
      <c r="E1154" t="s">
        <v>1439</v>
      </c>
      <c r="F1154" t="s">
        <v>2535</v>
      </c>
      <c r="G1154" t="b">
        <v>1</v>
      </c>
      <c r="H1154">
        <f>HYPERLINK("https://athena.uww.org/media/cache/person_default/uploads/images/568cc0932eafb.jpg")</f>
        <v>0</v>
      </c>
      <c r="I1154">
        <f>HYPERLINK("https://athena.uww.org/p/4591")</f>
        <v>0</v>
      </c>
    </row>
    <row r="1155" spans="1:9">
      <c r="A1155">
        <v>4602</v>
      </c>
      <c r="B1155" t="s">
        <v>1162</v>
      </c>
      <c r="C1155" t="s">
        <v>1339</v>
      </c>
      <c r="D1155" t="s">
        <v>1343</v>
      </c>
      <c r="E1155" t="s">
        <v>1439</v>
      </c>
      <c r="F1155" t="s">
        <v>2522</v>
      </c>
      <c r="G1155" t="b">
        <v>1</v>
      </c>
      <c r="H1155">
        <f>HYPERLINK("https://athena.uww.org/media/cache/person_default/uploads/images/referee-4602.jpg")</f>
        <v>0</v>
      </c>
      <c r="I1155">
        <f>HYPERLINK("https://athena.uww.org/p/4602")</f>
        <v>0</v>
      </c>
    </row>
    <row r="1156" spans="1:9">
      <c r="A1156">
        <v>3945</v>
      </c>
      <c r="B1156" t="s">
        <v>1163</v>
      </c>
      <c r="C1156" t="s">
        <v>1340</v>
      </c>
      <c r="D1156" t="s">
        <v>1343</v>
      </c>
      <c r="E1156" t="s">
        <v>1439</v>
      </c>
      <c r="F1156" t="s">
        <v>2536</v>
      </c>
      <c r="G1156" t="b">
        <v>1</v>
      </c>
      <c r="H1156">
        <f>HYPERLINK("https://athena.uww.org/media/cache/person_default/uploads/images/568cc056bafe2.jpg")</f>
        <v>0</v>
      </c>
      <c r="I1156">
        <f>HYPERLINK("https://athena.uww.org/p/3945")</f>
        <v>0</v>
      </c>
    </row>
    <row r="1157" spans="1:9">
      <c r="A1157">
        <v>10095</v>
      </c>
      <c r="B1157" t="s">
        <v>1164</v>
      </c>
      <c r="C1157" t="s">
        <v>1340</v>
      </c>
      <c r="D1157" t="s">
        <v>1343</v>
      </c>
      <c r="E1157" t="s">
        <v>1439</v>
      </c>
      <c r="F1157" t="s">
        <v>2537</v>
      </c>
      <c r="G1157" t="b">
        <v>1</v>
      </c>
      <c r="H1157">
        <f>HYPERLINK("https://athena.uww.org/media/cache/person_default/uploads/images/crop/61432313061e9699682726.png")</f>
        <v>0</v>
      </c>
      <c r="I1157">
        <f>HYPERLINK("https://athena.uww.org/p/10095")</f>
        <v>0</v>
      </c>
    </row>
    <row r="1158" spans="1:9">
      <c r="A1158">
        <v>5366</v>
      </c>
      <c r="B1158" t="s">
        <v>1165</v>
      </c>
      <c r="C1158" t="s">
        <v>1339</v>
      </c>
      <c r="D1158" t="s">
        <v>1343</v>
      </c>
      <c r="E1158" t="s">
        <v>1439</v>
      </c>
      <c r="F1158" t="s">
        <v>2538</v>
      </c>
      <c r="G1158" t="b">
        <v>1</v>
      </c>
      <c r="H1158">
        <f>HYPERLINK("https://athena.uww.org/media/cache/person_default/uploads/images/referee-5366.jpg")</f>
        <v>0</v>
      </c>
      <c r="I1158">
        <f>HYPERLINK("https://athena.uww.org/p/5366")</f>
        <v>0</v>
      </c>
    </row>
    <row r="1159" spans="1:9">
      <c r="A1159">
        <v>60576</v>
      </c>
      <c r="B1159" t="s">
        <v>1166</v>
      </c>
      <c r="C1159" t="s">
        <v>1339</v>
      </c>
      <c r="D1159" t="s">
        <v>1343</v>
      </c>
      <c r="E1159" t="s">
        <v>1439</v>
      </c>
      <c r="F1159" t="s">
        <v>2539</v>
      </c>
      <c r="G1159" t="b">
        <v>1</v>
      </c>
      <c r="H1159">
        <f>HYPERLINK("https://athena.uww.org/media/cache/person_default/uploads/images/crop/5b98c67bd3319.png")</f>
        <v>0</v>
      </c>
      <c r="I1159">
        <f>HYPERLINK("https://athena.uww.org/p/60576")</f>
        <v>0</v>
      </c>
    </row>
    <row r="1160" spans="1:9">
      <c r="A1160">
        <v>70047</v>
      </c>
      <c r="B1160" t="s">
        <v>1167</v>
      </c>
      <c r="C1160" t="s">
        <v>1339</v>
      </c>
      <c r="D1160" t="s">
        <v>1343</v>
      </c>
      <c r="E1160" t="s">
        <v>1439</v>
      </c>
      <c r="F1160" t="s">
        <v>2540</v>
      </c>
      <c r="G1160" t="b">
        <v>1</v>
      </c>
      <c r="H1160">
        <f>HYPERLINK("https://athena.uww.org/media/cache/person_default/uploads/images/crop/5d80c9572149e792709798.png")</f>
        <v>0</v>
      </c>
      <c r="I1160">
        <f>HYPERLINK("https://athena.uww.org/p/70047")</f>
        <v>0</v>
      </c>
    </row>
    <row r="1161" spans="1:9">
      <c r="A1161">
        <v>75</v>
      </c>
      <c r="B1161" t="s">
        <v>1168</v>
      </c>
      <c r="C1161" t="s">
        <v>1339</v>
      </c>
      <c r="D1161" t="s">
        <v>1343</v>
      </c>
      <c r="E1161" t="s">
        <v>1439</v>
      </c>
      <c r="F1161" t="s">
        <v>2541</v>
      </c>
      <c r="G1161" t="b">
        <v>1</v>
      </c>
      <c r="H1161">
        <f>HYPERLINK("https://athena.uww.org/media/cache/person_default/uploads/images/567a999fe5210.jpg")</f>
        <v>0</v>
      </c>
      <c r="I1161">
        <f>HYPERLINK("https://athena.uww.org/p/75")</f>
        <v>0</v>
      </c>
    </row>
    <row r="1162" spans="1:9">
      <c r="A1162">
        <v>5327</v>
      </c>
      <c r="B1162" t="s">
        <v>1169</v>
      </c>
      <c r="C1162" t="s">
        <v>1339</v>
      </c>
      <c r="D1162" t="s">
        <v>1343</v>
      </c>
      <c r="E1162" t="s">
        <v>1439</v>
      </c>
      <c r="F1162" t="s">
        <v>2542</v>
      </c>
      <c r="G1162" t="b">
        <v>1</v>
      </c>
      <c r="H1162">
        <f>HYPERLINK("https://athena.uww.org/media/cache/person_default/uploads/images/referee-5327.jpg")</f>
        <v>0</v>
      </c>
      <c r="I1162">
        <f>HYPERLINK("https://athena.uww.org/p/5327")</f>
        <v>0</v>
      </c>
    </row>
    <row r="1163" spans="1:9">
      <c r="A1163">
        <v>5568</v>
      </c>
      <c r="B1163" t="s">
        <v>1170</v>
      </c>
      <c r="C1163" t="s">
        <v>1339</v>
      </c>
      <c r="D1163" t="s">
        <v>1343</v>
      </c>
      <c r="E1163" t="s">
        <v>1439</v>
      </c>
      <c r="F1163" t="s">
        <v>2543</v>
      </c>
      <c r="G1163" t="b">
        <v>1</v>
      </c>
      <c r="H1163">
        <f>HYPERLINK("https://athena.uww.org/media/cache/person_default/uploads/images/referee-5568.jpg")</f>
        <v>0</v>
      </c>
      <c r="I1163">
        <f>HYPERLINK("https://athena.uww.org/p/5568")</f>
        <v>0</v>
      </c>
    </row>
    <row r="1164" spans="1:9">
      <c r="A1164">
        <v>51683</v>
      </c>
      <c r="B1164" t="s">
        <v>1171</v>
      </c>
      <c r="C1164" t="s">
        <v>1339</v>
      </c>
      <c r="D1164" t="s">
        <v>1343</v>
      </c>
      <c r="E1164" t="s">
        <v>1439</v>
      </c>
      <c r="F1164" t="s">
        <v>2544</v>
      </c>
      <c r="G1164" t="b">
        <v>1</v>
      </c>
      <c r="H1164">
        <f>HYPERLINK("https://athena.uww.org/media/cache/person_default/uploads/images/59db3f64e5993.jpeg")</f>
        <v>0</v>
      </c>
      <c r="I1164">
        <f>HYPERLINK("https://athena.uww.org/p/51683")</f>
        <v>0</v>
      </c>
    </row>
    <row r="1165" spans="1:9">
      <c r="A1165">
        <v>5208</v>
      </c>
      <c r="B1165" t="s">
        <v>1172</v>
      </c>
      <c r="C1165" t="s">
        <v>1339</v>
      </c>
      <c r="D1165" t="s">
        <v>1343</v>
      </c>
      <c r="E1165" t="s">
        <v>1439</v>
      </c>
      <c r="F1165" t="s">
        <v>2545</v>
      </c>
      <c r="G1165" t="b">
        <v>1</v>
      </c>
      <c r="H1165">
        <f>HYPERLINK("https://athena.uww.org/media/cache/person_default/uploads/images/referee-5208.jpg")</f>
        <v>0</v>
      </c>
      <c r="I1165">
        <f>HYPERLINK("https://athena.uww.org/p/5208")</f>
        <v>0</v>
      </c>
    </row>
    <row r="1166" spans="1:9">
      <c r="A1166">
        <v>5052</v>
      </c>
      <c r="B1166" t="s">
        <v>1173</v>
      </c>
      <c r="C1166" t="s">
        <v>1339</v>
      </c>
      <c r="D1166" t="s">
        <v>1343</v>
      </c>
      <c r="E1166" t="s">
        <v>1439</v>
      </c>
      <c r="F1166" t="s">
        <v>2546</v>
      </c>
      <c r="G1166" t="b">
        <v>1</v>
      </c>
      <c r="H1166">
        <f>HYPERLINK("https://athena.uww.org/media/cache/person_default/uploads/images/referee-5052.jpg")</f>
        <v>0</v>
      </c>
      <c r="I1166">
        <f>HYPERLINK("https://athena.uww.org/p/5052")</f>
        <v>0</v>
      </c>
    </row>
    <row r="1167" spans="1:9">
      <c r="A1167">
        <v>4392</v>
      </c>
      <c r="B1167" t="s">
        <v>1174</v>
      </c>
      <c r="C1167" t="s">
        <v>1339</v>
      </c>
      <c r="D1167" t="s">
        <v>1343</v>
      </c>
      <c r="E1167" t="s">
        <v>1442</v>
      </c>
      <c r="F1167" t="s">
        <v>2547</v>
      </c>
      <c r="G1167" t="b">
        <v>0</v>
      </c>
      <c r="H1167">
        <f>HYPERLINK("https://athena.uww.org/media/cache/person_default/uploads/images/referee-4392.jpg")</f>
        <v>0</v>
      </c>
      <c r="I1167">
        <f>HYPERLINK("https://athena.uww.org/p/4392")</f>
        <v>0</v>
      </c>
    </row>
    <row r="1168" spans="1:9">
      <c r="A1168">
        <v>110642</v>
      </c>
      <c r="B1168" t="s">
        <v>1175</v>
      </c>
      <c r="C1168" t="s">
        <v>1340</v>
      </c>
      <c r="D1168" t="s">
        <v>1343</v>
      </c>
      <c r="E1168" t="s">
        <v>1442</v>
      </c>
      <c r="F1168" t="s">
        <v>2548</v>
      </c>
      <c r="G1168" t="b">
        <v>1</v>
      </c>
      <c r="H1168">
        <f>HYPERLINK("https://athena.uww.org/media/cache/person_default/uploads/images/68b6a78a80184153175652.jpeg")</f>
        <v>0</v>
      </c>
      <c r="I1168">
        <f>HYPERLINK("https://athena.uww.org/p/110642")</f>
        <v>0</v>
      </c>
    </row>
    <row r="1169" spans="1:9">
      <c r="A1169">
        <v>103896</v>
      </c>
      <c r="B1169" t="s">
        <v>1176</v>
      </c>
      <c r="C1169" t="s">
        <v>1339</v>
      </c>
      <c r="D1169" t="s">
        <v>1343</v>
      </c>
      <c r="E1169" t="s">
        <v>1442</v>
      </c>
      <c r="F1169" t="s">
        <v>2088</v>
      </c>
      <c r="G1169" t="b">
        <v>1</v>
      </c>
      <c r="H1169">
        <f>HYPERLINK("https://athena.uww.org/media/cache/person_default/uploads/images/66f563fa05adf160917416.jpeg")</f>
        <v>0</v>
      </c>
      <c r="I1169">
        <f>HYPERLINK("https://athena.uww.org/p/103896")</f>
        <v>0</v>
      </c>
    </row>
    <row r="1170" spans="1:9">
      <c r="A1170">
        <v>58544</v>
      </c>
      <c r="B1170" t="s">
        <v>1177</v>
      </c>
      <c r="C1170" t="s">
        <v>1339</v>
      </c>
      <c r="D1170" t="s">
        <v>1343</v>
      </c>
      <c r="E1170" t="s">
        <v>1442</v>
      </c>
      <c r="F1170" t="s">
        <v>2549</v>
      </c>
      <c r="G1170" t="b">
        <v>1</v>
      </c>
      <c r="H1170">
        <f>HYPERLINK("https://athena.uww.org/media/cache/person_default/uploads/images/5b0674840dff6.jpeg")</f>
        <v>0</v>
      </c>
      <c r="I1170">
        <f>HYPERLINK("https://athena.uww.org/p/58544")</f>
        <v>0</v>
      </c>
    </row>
    <row r="1171" spans="1:9">
      <c r="A1171">
        <v>110643</v>
      </c>
      <c r="B1171" t="s">
        <v>1178</v>
      </c>
      <c r="C1171" t="s">
        <v>1339</v>
      </c>
      <c r="D1171" t="s">
        <v>1343</v>
      </c>
      <c r="E1171" t="s">
        <v>1442</v>
      </c>
      <c r="F1171" t="s">
        <v>2550</v>
      </c>
      <c r="G1171" t="b">
        <v>1</v>
      </c>
      <c r="H1171">
        <f>HYPERLINK("https://athena.uww.org/media/cache/person_default/uploads/images/68b6a8151c270505607830.jpeg")</f>
        <v>0</v>
      </c>
      <c r="I1171">
        <f>HYPERLINK("https://athena.uww.org/p/110643")</f>
        <v>0</v>
      </c>
    </row>
    <row r="1172" spans="1:9">
      <c r="A1172">
        <v>5367</v>
      </c>
      <c r="B1172" t="s">
        <v>1179</v>
      </c>
      <c r="C1172" t="s">
        <v>1339</v>
      </c>
      <c r="D1172" t="s">
        <v>1343</v>
      </c>
      <c r="E1172" t="s">
        <v>1442</v>
      </c>
      <c r="F1172" t="s">
        <v>2551</v>
      </c>
      <c r="G1172" t="b">
        <v>1</v>
      </c>
      <c r="H1172">
        <f>HYPERLINK("https://athena.uww.org/media/cache/person_default/uploads/images/referee-5367.jpg")</f>
        <v>0</v>
      </c>
      <c r="I1172">
        <f>HYPERLINK("https://athena.uww.org/p/5367")</f>
        <v>0</v>
      </c>
    </row>
    <row r="1173" spans="1:9">
      <c r="A1173">
        <v>5111</v>
      </c>
      <c r="B1173" t="s">
        <v>1180</v>
      </c>
      <c r="C1173" t="s">
        <v>1339</v>
      </c>
      <c r="D1173" t="s">
        <v>1343</v>
      </c>
      <c r="E1173" t="s">
        <v>1442</v>
      </c>
      <c r="F1173" t="s">
        <v>1524</v>
      </c>
      <c r="G1173" t="b">
        <v>1</v>
      </c>
      <c r="H1173">
        <f>HYPERLINK("https://athena.uww.org/media/cache/person_default/uploads/images/referee-5111.jpg")</f>
        <v>0</v>
      </c>
      <c r="I1173">
        <f>HYPERLINK("https://athena.uww.org/p/5111")</f>
        <v>0</v>
      </c>
    </row>
    <row r="1174" spans="1:9">
      <c r="A1174">
        <v>75077</v>
      </c>
      <c r="B1174" t="s">
        <v>1181</v>
      </c>
      <c r="C1174" t="s">
        <v>1339</v>
      </c>
      <c r="D1174" t="s">
        <v>1343</v>
      </c>
      <c r="E1174" t="s">
        <v>1442</v>
      </c>
      <c r="F1174" t="s">
        <v>2552</v>
      </c>
      <c r="G1174" t="b">
        <v>1</v>
      </c>
      <c r="H1174">
        <f>HYPERLINK("https://athena.uww.org/media/cache/person_default/uploads/images/crop/608a64ca9d1f7899995832.png")</f>
        <v>0</v>
      </c>
      <c r="I1174">
        <f>HYPERLINK("https://athena.uww.org/p/75077")</f>
        <v>0</v>
      </c>
    </row>
    <row r="1175" spans="1:9">
      <c r="A1175">
        <v>75080</v>
      </c>
      <c r="B1175" t="s">
        <v>1182</v>
      </c>
      <c r="C1175" t="s">
        <v>1339</v>
      </c>
      <c r="D1175" t="s">
        <v>1343</v>
      </c>
      <c r="E1175" t="s">
        <v>1442</v>
      </c>
      <c r="F1175" t="s">
        <v>2553</v>
      </c>
      <c r="G1175" t="b">
        <v>1</v>
      </c>
      <c r="H1175">
        <f>HYPERLINK("https://athena.uww.org/media/cache/person_default/uploads/images/6089403b46b71223910957.jpeg")</f>
        <v>0</v>
      </c>
      <c r="I1175">
        <f>HYPERLINK("https://athena.uww.org/p/75080")</f>
        <v>0</v>
      </c>
    </row>
    <row r="1176" spans="1:9">
      <c r="A1176">
        <v>70045</v>
      </c>
      <c r="B1176" t="s">
        <v>1183</v>
      </c>
      <c r="C1176" t="s">
        <v>1339</v>
      </c>
      <c r="D1176" t="s">
        <v>1343</v>
      </c>
      <c r="E1176" t="s">
        <v>1442</v>
      </c>
      <c r="F1176" t="s">
        <v>1956</v>
      </c>
      <c r="G1176" t="b">
        <v>1</v>
      </c>
      <c r="H1176">
        <f>HYPERLINK("https://athena.uww.org/media/cache/person_default/uploads/images/crop/5d80c91462f34004695955.png")</f>
        <v>0</v>
      </c>
      <c r="I1176">
        <f>HYPERLINK("https://athena.uww.org/p/70045")</f>
        <v>0</v>
      </c>
    </row>
    <row r="1177" spans="1:9">
      <c r="A1177">
        <v>5365</v>
      </c>
      <c r="B1177" t="s">
        <v>1184</v>
      </c>
      <c r="C1177" t="s">
        <v>1339</v>
      </c>
      <c r="D1177" t="s">
        <v>1343</v>
      </c>
      <c r="E1177" t="s">
        <v>1442</v>
      </c>
      <c r="F1177" t="s">
        <v>2554</v>
      </c>
      <c r="G1177" t="b">
        <v>1</v>
      </c>
      <c r="H1177">
        <f>HYPERLINK("https://athena.uww.org/media/cache/person_default/uploads/images/referee-5365.jpg")</f>
        <v>0</v>
      </c>
      <c r="I1177">
        <f>HYPERLINK("https://athena.uww.org/p/5365")</f>
        <v>0</v>
      </c>
    </row>
    <row r="1178" spans="1:9">
      <c r="A1178">
        <v>4242</v>
      </c>
      <c r="B1178" t="s">
        <v>1185</v>
      </c>
      <c r="C1178" t="s">
        <v>1339</v>
      </c>
      <c r="D1178" t="s">
        <v>1343</v>
      </c>
      <c r="E1178" t="s">
        <v>1442</v>
      </c>
      <c r="F1178" t="s">
        <v>2555</v>
      </c>
      <c r="G1178" t="b">
        <v>0</v>
      </c>
      <c r="H1178">
        <f>HYPERLINK("https://athena.uww.org/media/cache/person_default/uploads/images/568e18a26eb95.jpg")</f>
        <v>0</v>
      </c>
      <c r="I1178">
        <f>HYPERLINK("https://athena.uww.org/p/4242")</f>
        <v>0</v>
      </c>
    </row>
    <row r="1179" spans="1:9">
      <c r="A1179">
        <v>110644</v>
      </c>
      <c r="B1179" t="s">
        <v>1186</v>
      </c>
      <c r="C1179" t="s">
        <v>1339</v>
      </c>
      <c r="D1179" t="s">
        <v>1343</v>
      </c>
      <c r="E1179" t="s">
        <v>1442</v>
      </c>
      <c r="F1179" t="s">
        <v>2556</v>
      </c>
      <c r="G1179" t="b">
        <v>1</v>
      </c>
      <c r="H1179">
        <f>HYPERLINK("https://athena.uww.org/media/cache/person_default/uploads/images/crop/68b7e261ae74f246720246.png")</f>
        <v>0</v>
      </c>
      <c r="I1179">
        <f>HYPERLINK("https://athena.uww.org/p/110644")</f>
        <v>0</v>
      </c>
    </row>
    <row r="1180" spans="1:9">
      <c r="A1180">
        <v>75079</v>
      </c>
      <c r="B1180" t="s">
        <v>1187</v>
      </c>
      <c r="C1180" t="s">
        <v>1339</v>
      </c>
      <c r="D1180" t="s">
        <v>1343</v>
      </c>
      <c r="E1180" t="s">
        <v>1442</v>
      </c>
      <c r="F1180" t="s">
        <v>2557</v>
      </c>
      <c r="G1180" t="b">
        <v>1</v>
      </c>
      <c r="H1180">
        <f>HYPERLINK("https://athena.uww.org/media/cache/person_default/uploads/images/crop/60893fb134d3f081990555.png")</f>
        <v>0</v>
      </c>
      <c r="I1180">
        <f>HYPERLINK("https://athena.uww.org/p/75079")</f>
        <v>0</v>
      </c>
    </row>
    <row r="1181" spans="1:9">
      <c r="A1181">
        <v>5460</v>
      </c>
      <c r="B1181" t="s">
        <v>1188</v>
      </c>
      <c r="C1181" t="s">
        <v>1339</v>
      </c>
      <c r="D1181" t="s">
        <v>1343</v>
      </c>
      <c r="E1181" t="s">
        <v>1442</v>
      </c>
      <c r="F1181" t="s">
        <v>2126</v>
      </c>
      <c r="G1181" t="b">
        <v>1</v>
      </c>
      <c r="H1181">
        <f>HYPERLINK("https://athena.uww.org/media/cache/person_default/uploads/images/referee-5460.jpg")</f>
        <v>0</v>
      </c>
      <c r="I1181">
        <f>HYPERLINK("https://athena.uww.org/p/5460")</f>
        <v>0</v>
      </c>
    </row>
    <row r="1182" spans="1:9">
      <c r="A1182">
        <v>5053</v>
      </c>
      <c r="B1182" t="s">
        <v>1189</v>
      </c>
      <c r="C1182" t="s">
        <v>1339</v>
      </c>
      <c r="D1182" t="s">
        <v>1343</v>
      </c>
      <c r="E1182" t="s">
        <v>1442</v>
      </c>
      <c r="F1182" t="s">
        <v>2558</v>
      </c>
      <c r="G1182" t="b">
        <v>1</v>
      </c>
      <c r="H1182">
        <f>HYPERLINK("https://athena.uww.org/media/cache/person_default/uploads/images/referee-5053.jpg")</f>
        <v>0</v>
      </c>
      <c r="I1182">
        <f>HYPERLINK("https://athena.uww.org/p/5053")</f>
        <v>0</v>
      </c>
    </row>
    <row r="1183" spans="1:9">
      <c r="A1183">
        <v>66976</v>
      </c>
      <c r="B1183" t="s">
        <v>1190</v>
      </c>
      <c r="C1183" t="s">
        <v>1339</v>
      </c>
      <c r="D1183" t="s">
        <v>1343</v>
      </c>
      <c r="E1183" t="s">
        <v>1442</v>
      </c>
      <c r="F1183" t="s">
        <v>1942</v>
      </c>
      <c r="G1183" t="b">
        <v>1</v>
      </c>
      <c r="H1183">
        <f>HYPERLINK("https://athena.uww.org/media/cache/person_default/uploads/images/5cf0d87ee5735547549694.jpeg")</f>
        <v>0</v>
      </c>
      <c r="I1183">
        <f>HYPERLINK("https://athena.uww.org/p/66976")</f>
        <v>0</v>
      </c>
    </row>
    <row r="1184" spans="1:9">
      <c r="A1184">
        <v>4695</v>
      </c>
      <c r="B1184" t="s">
        <v>1191</v>
      </c>
      <c r="C1184" t="s">
        <v>1339</v>
      </c>
      <c r="D1184" t="s">
        <v>1433</v>
      </c>
      <c r="E1184" t="s">
        <v>1440</v>
      </c>
      <c r="F1184" t="s">
        <v>2559</v>
      </c>
      <c r="G1184" t="b">
        <v>1</v>
      </c>
      <c r="H1184">
        <f>HYPERLINK("https://athena.uww.org/media/cache/person_default/uploads/images/crop/63cb998edee0b529923087.png")</f>
        <v>0</v>
      </c>
      <c r="I1184">
        <f>HYPERLINK("https://athena.uww.org/p/4695")</f>
        <v>0</v>
      </c>
    </row>
    <row r="1185" spans="1:9">
      <c r="A1185">
        <v>41850</v>
      </c>
      <c r="B1185" t="s">
        <v>1192</v>
      </c>
      <c r="C1185" t="s">
        <v>1339</v>
      </c>
      <c r="D1185" t="s">
        <v>1433</v>
      </c>
      <c r="E1185" t="s">
        <v>1441</v>
      </c>
      <c r="F1185" t="s">
        <v>2560</v>
      </c>
      <c r="G1185" t="b">
        <v>1</v>
      </c>
      <c r="H1185">
        <f>HYPERLINK("https://athena.uww.org/media/cache/person_default/uploads/images/crop/580f6b2c580eb.png")</f>
        <v>0</v>
      </c>
      <c r="I1185">
        <f>HYPERLINK("https://athena.uww.org/p/41850")</f>
        <v>0</v>
      </c>
    </row>
    <row r="1186" spans="1:9">
      <c r="A1186">
        <v>41793</v>
      </c>
      <c r="B1186" t="s">
        <v>1193</v>
      </c>
      <c r="C1186" t="s">
        <v>1339</v>
      </c>
      <c r="D1186" t="s">
        <v>1433</v>
      </c>
      <c r="E1186" t="s">
        <v>1441</v>
      </c>
      <c r="F1186" t="s">
        <v>2561</v>
      </c>
      <c r="G1186" t="b">
        <v>1</v>
      </c>
      <c r="H1186">
        <f>HYPERLINK("https://athena.uww.org/media/cache/person_default/uploads/images/crop/580f25d484adc.png")</f>
        <v>0</v>
      </c>
      <c r="I1186">
        <f>HYPERLINK("https://athena.uww.org/p/41793")</f>
        <v>0</v>
      </c>
    </row>
    <row r="1187" spans="1:9">
      <c r="A1187">
        <v>4147</v>
      </c>
      <c r="B1187" t="s">
        <v>1194</v>
      </c>
      <c r="C1187" t="s">
        <v>1339</v>
      </c>
      <c r="D1187" t="s">
        <v>1433</v>
      </c>
      <c r="E1187" t="s">
        <v>1441</v>
      </c>
      <c r="F1187" t="s">
        <v>2562</v>
      </c>
      <c r="G1187" t="b">
        <v>1</v>
      </c>
      <c r="H1187">
        <f>HYPERLINK("https://athena.uww.org/media/cache/person_default/uploads/images/referee-4147.jpg")</f>
        <v>0</v>
      </c>
      <c r="I1187">
        <f>HYPERLINK("https://athena.uww.org/p/4147")</f>
        <v>0</v>
      </c>
    </row>
    <row r="1188" spans="1:9">
      <c r="A1188">
        <v>5160</v>
      </c>
      <c r="B1188" t="s">
        <v>1195</v>
      </c>
      <c r="C1188" t="s">
        <v>1339</v>
      </c>
      <c r="D1188" t="s">
        <v>1433</v>
      </c>
      <c r="E1188" t="s">
        <v>1441</v>
      </c>
      <c r="F1188" t="s">
        <v>2562</v>
      </c>
      <c r="G1188" t="b">
        <v>1</v>
      </c>
      <c r="H1188">
        <f>HYPERLINK("https://athena.uww.org/media/cache/person_default/uploads/images/referee-5160.jpg")</f>
        <v>0</v>
      </c>
      <c r="I1188">
        <f>HYPERLINK("https://athena.uww.org/p/5160")</f>
        <v>0</v>
      </c>
    </row>
    <row r="1189" spans="1:9">
      <c r="A1189">
        <v>78</v>
      </c>
      <c r="B1189" t="s">
        <v>1196</v>
      </c>
      <c r="C1189" t="s">
        <v>1339</v>
      </c>
      <c r="D1189" t="s">
        <v>1433</v>
      </c>
      <c r="E1189" t="s">
        <v>1441</v>
      </c>
      <c r="F1189" t="s">
        <v>2563</v>
      </c>
      <c r="G1189" t="b">
        <v>1</v>
      </c>
      <c r="H1189">
        <f>HYPERLINK("https://athena.uww.org/media/cache/person_default/uploads/images/crop/675bd0b1ae5f6525028804.png")</f>
        <v>0</v>
      </c>
      <c r="I1189">
        <f>HYPERLINK("https://athena.uww.org/p/78")</f>
        <v>0</v>
      </c>
    </row>
    <row r="1190" spans="1:9">
      <c r="A1190">
        <v>12546</v>
      </c>
      <c r="B1190" t="s">
        <v>1197</v>
      </c>
      <c r="C1190" t="s">
        <v>1340</v>
      </c>
      <c r="D1190" t="s">
        <v>1433</v>
      </c>
      <c r="E1190" t="s">
        <v>1441</v>
      </c>
      <c r="F1190" t="s">
        <v>2564</v>
      </c>
      <c r="G1190" t="b">
        <v>1</v>
      </c>
      <c r="H1190">
        <f>HYPERLINK("https://athena.uww.org/media/cache/person_default/uploads/images/crop/67ca8f246e4c2648605220.png")</f>
        <v>0</v>
      </c>
      <c r="I1190">
        <f>HYPERLINK("https://athena.uww.org/p/12546")</f>
        <v>0</v>
      </c>
    </row>
    <row r="1191" spans="1:9">
      <c r="A1191">
        <v>3973</v>
      </c>
      <c r="B1191" t="s">
        <v>1198</v>
      </c>
      <c r="C1191" t="s">
        <v>1339</v>
      </c>
      <c r="D1191" t="s">
        <v>1433</v>
      </c>
      <c r="E1191" t="s">
        <v>1441</v>
      </c>
      <c r="F1191" t="s">
        <v>2565</v>
      </c>
      <c r="G1191" t="b">
        <v>1</v>
      </c>
      <c r="H1191">
        <f>HYPERLINK("https://athena.uww.org/media/cache/person_default/uploads/images/568e15e96c8f2.jpg")</f>
        <v>0</v>
      </c>
      <c r="I1191">
        <f>HYPERLINK("https://athena.uww.org/p/3973")</f>
        <v>0</v>
      </c>
    </row>
    <row r="1192" spans="1:9">
      <c r="A1192">
        <v>21052</v>
      </c>
      <c r="B1192" t="s">
        <v>1199</v>
      </c>
      <c r="C1192" t="s">
        <v>1340</v>
      </c>
      <c r="D1192" t="s">
        <v>1433</v>
      </c>
      <c r="E1192" t="s">
        <v>1441</v>
      </c>
      <c r="F1192" t="s">
        <v>1870</v>
      </c>
      <c r="G1192" t="b">
        <v>1</v>
      </c>
      <c r="H1192">
        <f>HYPERLINK("https://athena.uww.org/media/cache/person_default/uploads/images/crop/5d6644a7ad0bd213153210.png")</f>
        <v>0</v>
      </c>
      <c r="I1192">
        <f>HYPERLINK("https://athena.uww.org/p/21052")</f>
        <v>0</v>
      </c>
    </row>
    <row r="1193" spans="1:9">
      <c r="A1193">
        <v>5368</v>
      </c>
      <c r="B1193" t="s">
        <v>1200</v>
      </c>
      <c r="C1193" t="s">
        <v>1339</v>
      </c>
      <c r="D1193" t="s">
        <v>1433</v>
      </c>
      <c r="E1193" t="s">
        <v>1441</v>
      </c>
      <c r="F1193" t="s">
        <v>2566</v>
      </c>
      <c r="G1193" t="b">
        <v>1</v>
      </c>
      <c r="H1193">
        <f>HYPERLINK("https://athena.uww.org/media/cache/person_default/uploads/images/referee-5368.jpg")</f>
        <v>0</v>
      </c>
      <c r="I1193">
        <f>HYPERLINK("https://athena.uww.org/p/5368")</f>
        <v>0</v>
      </c>
    </row>
    <row r="1194" spans="1:9">
      <c r="A1194">
        <v>4694</v>
      </c>
      <c r="B1194" t="s">
        <v>1201</v>
      </c>
      <c r="C1194" t="s">
        <v>1339</v>
      </c>
      <c r="D1194" t="s">
        <v>1433</v>
      </c>
      <c r="E1194" t="s">
        <v>1441</v>
      </c>
      <c r="F1194" t="s">
        <v>2567</v>
      </c>
      <c r="G1194" t="b">
        <v>1</v>
      </c>
      <c r="H1194">
        <f>HYPERLINK("https://athena.uww.org/media/cache/person_default/uploads/images/referee-4894.jpg")</f>
        <v>0</v>
      </c>
      <c r="I1194">
        <f>HYPERLINK("https://athena.uww.org/p/4694")</f>
        <v>0</v>
      </c>
    </row>
    <row r="1195" spans="1:9">
      <c r="A1195">
        <v>5159</v>
      </c>
      <c r="B1195" t="s">
        <v>1202</v>
      </c>
      <c r="C1195" t="s">
        <v>1339</v>
      </c>
      <c r="D1195" t="s">
        <v>1433</v>
      </c>
      <c r="E1195" t="s">
        <v>1439</v>
      </c>
      <c r="F1195" t="s">
        <v>2568</v>
      </c>
      <c r="G1195" t="b">
        <v>1</v>
      </c>
      <c r="H1195">
        <f>HYPERLINK("https://athena.uww.org/media/cache/person_default/uploads/images/referee-5159.jpg")</f>
        <v>0</v>
      </c>
      <c r="I1195">
        <f>HYPERLINK("https://athena.uww.org/p/5159")</f>
        <v>0</v>
      </c>
    </row>
    <row r="1196" spans="1:9">
      <c r="A1196">
        <v>5266</v>
      </c>
      <c r="B1196" t="s">
        <v>1203</v>
      </c>
      <c r="C1196" t="s">
        <v>1339</v>
      </c>
      <c r="D1196" t="s">
        <v>1433</v>
      </c>
      <c r="E1196" t="s">
        <v>1439</v>
      </c>
      <c r="F1196" t="s">
        <v>2569</v>
      </c>
      <c r="G1196" t="b">
        <v>1</v>
      </c>
      <c r="H1196">
        <f>HYPERLINK("https://athena.uww.org/media/cache/person_default/uploads/images/referee-5266.jpg")</f>
        <v>0</v>
      </c>
      <c r="I1196">
        <f>HYPERLINK("https://athena.uww.org/p/5266")</f>
        <v>0</v>
      </c>
    </row>
    <row r="1197" spans="1:9">
      <c r="A1197">
        <v>60115</v>
      </c>
      <c r="B1197" t="s">
        <v>1204</v>
      </c>
      <c r="C1197" t="s">
        <v>1339</v>
      </c>
      <c r="D1197" t="s">
        <v>1433</v>
      </c>
      <c r="E1197" t="s">
        <v>1439</v>
      </c>
      <c r="F1197" t="s">
        <v>2570</v>
      </c>
      <c r="G1197" t="b">
        <v>1</v>
      </c>
      <c r="H1197">
        <f>HYPERLINK("https://athena.uww.org/media/cache/person_default/uploads/images/crop/5b7d37aa6267e.png")</f>
        <v>0</v>
      </c>
      <c r="I1197">
        <f>HYPERLINK("https://athena.uww.org/p/60115")</f>
        <v>0</v>
      </c>
    </row>
    <row r="1198" spans="1:9">
      <c r="A1198">
        <v>99313</v>
      </c>
      <c r="B1198" t="s">
        <v>1205</v>
      </c>
      <c r="C1198" t="s">
        <v>1340</v>
      </c>
      <c r="D1198" t="s">
        <v>1433</v>
      </c>
      <c r="E1198" t="s">
        <v>1442</v>
      </c>
      <c r="F1198" t="s">
        <v>2571</v>
      </c>
      <c r="G1198" t="b">
        <v>1</v>
      </c>
      <c r="H1198">
        <f>HYPERLINK("https://athena.uww.org/media/cache/person_default/uploads/images/crop/661e247cae93d223006609.png")</f>
        <v>0</v>
      </c>
      <c r="I1198">
        <f>HYPERLINK("https://athena.uww.org/p/99313")</f>
        <v>0</v>
      </c>
    </row>
    <row r="1199" spans="1:9">
      <c r="A1199">
        <v>97563</v>
      </c>
      <c r="B1199" t="s">
        <v>1206</v>
      </c>
      <c r="C1199" t="s">
        <v>1339</v>
      </c>
      <c r="D1199" t="s">
        <v>1433</v>
      </c>
      <c r="E1199" t="s">
        <v>1442</v>
      </c>
      <c r="F1199" t="s">
        <v>2572</v>
      </c>
      <c r="G1199" t="b">
        <v>1</v>
      </c>
      <c r="H1199">
        <f>HYPERLINK("https://athena.uww.org/media/cache/person_default/uploads/images/crop/65dc57f20f661447684563.png")</f>
        <v>0</v>
      </c>
      <c r="I1199">
        <f>HYPERLINK("https://athena.uww.org/p/97563")</f>
        <v>0</v>
      </c>
    </row>
    <row r="1200" spans="1:9">
      <c r="A1200">
        <v>5305</v>
      </c>
      <c r="B1200" t="s">
        <v>1207</v>
      </c>
      <c r="C1200" t="s">
        <v>1339</v>
      </c>
      <c r="D1200" t="s">
        <v>1433</v>
      </c>
      <c r="E1200" t="s">
        <v>1442</v>
      </c>
      <c r="F1200" t="s">
        <v>2318</v>
      </c>
      <c r="G1200" t="b">
        <v>0</v>
      </c>
      <c r="H1200">
        <f>HYPERLINK("https://athena.uww.org/media/cache/person_default/uploads/images/crop/59897c9f31c0b.png")</f>
        <v>0</v>
      </c>
      <c r="I1200">
        <f>HYPERLINK("https://athena.uww.org/p/5305")</f>
        <v>0</v>
      </c>
    </row>
    <row r="1201" spans="1:9">
      <c r="A1201">
        <v>4596</v>
      </c>
      <c r="B1201" t="s">
        <v>1208</v>
      </c>
      <c r="C1201" t="s">
        <v>1339</v>
      </c>
      <c r="D1201" t="s">
        <v>1433</v>
      </c>
      <c r="E1201" t="s">
        <v>1442</v>
      </c>
      <c r="F1201" t="s">
        <v>2573</v>
      </c>
      <c r="G1201" t="b">
        <v>1</v>
      </c>
      <c r="H1201">
        <f>HYPERLINK("https://athena.uww.org/media/cache/person_default/uploads/images/crop/65e84f198eefc344535856.png")</f>
        <v>0</v>
      </c>
      <c r="I1201">
        <f>HYPERLINK("https://athena.uww.org/p/4596")</f>
        <v>0</v>
      </c>
    </row>
    <row r="1202" spans="1:9">
      <c r="A1202">
        <v>2973</v>
      </c>
      <c r="B1202" t="s">
        <v>1209</v>
      </c>
      <c r="C1202" t="s">
        <v>1339</v>
      </c>
      <c r="D1202" t="s">
        <v>1433</v>
      </c>
      <c r="E1202" t="s">
        <v>1442</v>
      </c>
      <c r="F1202" t="s">
        <v>2574</v>
      </c>
      <c r="G1202" t="b">
        <v>1</v>
      </c>
      <c r="H1202">
        <f>HYPERLINK("https://athena.uww.org/media/cache/person_default/uploads/images/crop/6294a323c092c158521307.png")</f>
        <v>0</v>
      </c>
      <c r="I1202">
        <f>HYPERLINK("https://athena.uww.org/p/2973")</f>
        <v>0</v>
      </c>
    </row>
    <row r="1203" spans="1:9">
      <c r="A1203">
        <v>59954</v>
      </c>
      <c r="B1203" t="s">
        <v>1210</v>
      </c>
      <c r="C1203" t="s">
        <v>1339</v>
      </c>
      <c r="D1203" t="s">
        <v>1433</v>
      </c>
      <c r="E1203" t="s">
        <v>1442</v>
      </c>
      <c r="F1203" t="s">
        <v>2575</v>
      </c>
      <c r="G1203" t="b">
        <v>1</v>
      </c>
      <c r="H1203">
        <f>HYPERLINK("https://athena.uww.org/media/cache/person_default/uploads/images/crop/647d88648361b893793620.png")</f>
        <v>0</v>
      </c>
      <c r="I1203">
        <f>HYPERLINK("https://athena.uww.org/p/59954")</f>
        <v>0</v>
      </c>
    </row>
    <row r="1204" spans="1:9">
      <c r="A1204">
        <v>9097</v>
      </c>
      <c r="B1204" t="s">
        <v>1211</v>
      </c>
      <c r="C1204" t="s">
        <v>1339</v>
      </c>
      <c r="D1204" t="s">
        <v>1433</v>
      </c>
      <c r="E1204" t="s">
        <v>1442</v>
      </c>
      <c r="F1204" t="s">
        <v>2576</v>
      </c>
      <c r="G1204" t="b">
        <v>1</v>
      </c>
      <c r="H1204">
        <f>HYPERLINK("https://athena.uww.org/media/cache/person_default/uploads/images/crop/68b69b2b4a2a9863765587.png")</f>
        <v>0</v>
      </c>
      <c r="I1204">
        <f>HYPERLINK("https://athena.uww.org/p/9097")</f>
        <v>0</v>
      </c>
    </row>
    <row r="1205" spans="1:9">
      <c r="A1205">
        <v>69305</v>
      </c>
      <c r="B1205" t="s">
        <v>1212</v>
      </c>
      <c r="C1205" t="s">
        <v>1339</v>
      </c>
      <c r="D1205" t="s">
        <v>1433</v>
      </c>
      <c r="E1205" t="s">
        <v>1442</v>
      </c>
      <c r="F1205" t="s">
        <v>2577</v>
      </c>
      <c r="G1205" t="b">
        <v>1</v>
      </c>
      <c r="H1205">
        <f>HYPERLINK("https://athena.uww.org/media/cache/person_default/uploads/images/crop/5d66ab211c3a6597622749.png")</f>
        <v>0</v>
      </c>
      <c r="I1205">
        <f>HYPERLINK("https://athena.uww.org/p/69305")</f>
        <v>0</v>
      </c>
    </row>
    <row r="1206" spans="1:9">
      <c r="A1206">
        <v>12541</v>
      </c>
      <c r="B1206" t="s">
        <v>1213</v>
      </c>
      <c r="C1206" t="s">
        <v>1340</v>
      </c>
      <c r="D1206" t="s">
        <v>1433</v>
      </c>
      <c r="E1206" t="s">
        <v>1442</v>
      </c>
      <c r="F1206" t="s">
        <v>2578</v>
      </c>
      <c r="G1206" t="b">
        <v>1</v>
      </c>
      <c r="H1206">
        <f>HYPERLINK("https://athena.uww.org/media/cache/person_default/uploads/images/1136010892001.jpg")</f>
        <v>0</v>
      </c>
      <c r="I1206">
        <f>HYPERLINK("https://athena.uww.org/p/12541")</f>
        <v>0</v>
      </c>
    </row>
    <row r="1207" spans="1:9">
      <c r="A1207">
        <v>4992</v>
      </c>
      <c r="B1207" t="s">
        <v>1214</v>
      </c>
      <c r="C1207" t="s">
        <v>1339</v>
      </c>
      <c r="D1207" t="s">
        <v>1433</v>
      </c>
      <c r="E1207" t="s">
        <v>1442</v>
      </c>
      <c r="F1207" t="s">
        <v>2579</v>
      </c>
      <c r="G1207" t="b">
        <v>1</v>
      </c>
      <c r="H1207">
        <f>HYPERLINK("https://athena.uww.org/media/cache/person_default/uploads/images/referee-4992.jpg")</f>
        <v>0</v>
      </c>
      <c r="I1207">
        <f>HYPERLINK("https://athena.uww.org/p/4992")</f>
        <v>0</v>
      </c>
    </row>
    <row r="1208" spans="1:9">
      <c r="A1208">
        <v>4489</v>
      </c>
      <c r="B1208" t="s">
        <v>1215</v>
      </c>
      <c r="C1208" t="s">
        <v>1339</v>
      </c>
      <c r="D1208" t="s">
        <v>1434</v>
      </c>
      <c r="E1208" t="s">
        <v>1440</v>
      </c>
      <c r="F1208" t="s">
        <v>1930</v>
      </c>
      <c r="G1208" t="b">
        <v>1</v>
      </c>
      <c r="H1208">
        <f>HYPERLINK("https://athena.uww.org/media/cache/person_default/uploads/images/crop/63cb9f740a0ea402448777.png")</f>
        <v>0</v>
      </c>
      <c r="I1208">
        <f>HYPERLINK("https://athena.uww.org/p/4489")</f>
        <v>0</v>
      </c>
    </row>
    <row r="1209" spans="1:9">
      <c r="A1209">
        <v>4498</v>
      </c>
      <c r="B1209" t="s">
        <v>1216</v>
      </c>
      <c r="C1209" t="s">
        <v>1339</v>
      </c>
      <c r="D1209" t="s">
        <v>1434</v>
      </c>
      <c r="E1209" t="s">
        <v>1440</v>
      </c>
      <c r="F1209" t="s">
        <v>2580</v>
      </c>
      <c r="G1209" t="b">
        <v>1</v>
      </c>
      <c r="H1209">
        <f>HYPERLINK("https://athena.uww.org/media/cache/person_default/uploads/images/crop/63cba3d8a6516722425448.png")</f>
        <v>0</v>
      </c>
      <c r="I1209">
        <f>HYPERLINK("https://athena.uww.org/p/4498")</f>
        <v>0</v>
      </c>
    </row>
    <row r="1210" spans="1:9">
      <c r="A1210">
        <v>4806</v>
      </c>
      <c r="B1210" t="s">
        <v>1217</v>
      </c>
      <c r="C1210" t="s">
        <v>1339</v>
      </c>
      <c r="D1210" t="s">
        <v>1434</v>
      </c>
      <c r="E1210" t="s">
        <v>1440</v>
      </c>
      <c r="F1210" t="s">
        <v>2581</v>
      </c>
      <c r="G1210" t="b">
        <v>1</v>
      </c>
      <c r="H1210">
        <f>HYPERLINK("https://athena.uww.org/media/cache/person_default/uploads/images/crop/63cba3eabb8ae361325936.png")</f>
        <v>0</v>
      </c>
      <c r="I1210">
        <f>HYPERLINK("https://athena.uww.org/p/4806")</f>
        <v>0</v>
      </c>
    </row>
    <row r="1211" spans="1:9">
      <c r="A1211">
        <v>5065</v>
      </c>
      <c r="B1211" t="s">
        <v>1218</v>
      </c>
      <c r="C1211" t="s">
        <v>1339</v>
      </c>
      <c r="D1211" t="s">
        <v>1434</v>
      </c>
      <c r="E1211" t="s">
        <v>1440</v>
      </c>
      <c r="F1211" t="s">
        <v>2582</v>
      </c>
      <c r="G1211" t="b">
        <v>1</v>
      </c>
      <c r="H1211">
        <f>HYPERLINK("https://athena.uww.org/media/cache/person_default/uploads/images/referee-5065.jpg")</f>
        <v>0</v>
      </c>
      <c r="I1211">
        <f>HYPERLINK("https://athena.uww.org/p/5065")</f>
        <v>0</v>
      </c>
    </row>
    <row r="1212" spans="1:9">
      <c r="A1212">
        <v>47379</v>
      </c>
      <c r="B1212" t="s">
        <v>1219</v>
      </c>
      <c r="C1212" t="s">
        <v>1340</v>
      </c>
      <c r="D1212" t="s">
        <v>1434</v>
      </c>
      <c r="E1212" t="s">
        <v>1440</v>
      </c>
      <c r="F1212" t="s">
        <v>2583</v>
      </c>
      <c r="G1212" t="b">
        <v>1</v>
      </c>
      <c r="H1212">
        <f>HYPERLINK("https://athena.uww.org/media/cache/person_default/uploads/images/crop/63cba3241df44658329909.png")</f>
        <v>0</v>
      </c>
      <c r="I1212">
        <f>HYPERLINK("https://athena.uww.org/p/47379")</f>
        <v>0</v>
      </c>
    </row>
    <row r="1213" spans="1:9">
      <c r="A1213">
        <v>59501</v>
      </c>
      <c r="B1213" t="s">
        <v>1220</v>
      </c>
      <c r="C1213" t="s">
        <v>1339</v>
      </c>
      <c r="D1213" t="s">
        <v>1434</v>
      </c>
      <c r="E1213" t="s">
        <v>1441</v>
      </c>
      <c r="F1213" t="s">
        <v>2584</v>
      </c>
      <c r="G1213" t="b">
        <v>1</v>
      </c>
      <c r="H1213">
        <f>HYPERLINK("https://athena.uww.org/media/cache/person_default/uploads/images/crop/5b74088e281f8.png")</f>
        <v>0</v>
      </c>
      <c r="I1213">
        <f>HYPERLINK("https://athena.uww.org/p/59501")</f>
        <v>0</v>
      </c>
    </row>
    <row r="1214" spans="1:9">
      <c r="A1214">
        <v>4803</v>
      </c>
      <c r="B1214" t="s">
        <v>1221</v>
      </c>
      <c r="C1214" t="s">
        <v>1339</v>
      </c>
      <c r="D1214" t="s">
        <v>1434</v>
      </c>
      <c r="E1214" t="s">
        <v>1441</v>
      </c>
      <c r="F1214" t="s">
        <v>2585</v>
      </c>
      <c r="G1214" t="b">
        <v>1</v>
      </c>
      <c r="H1214">
        <f>HYPERLINK("https://athena.uww.org/media/cache/person_default/uploads/images/referee-4803.jpg")</f>
        <v>0</v>
      </c>
      <c r="I1214">
        <f>HYPERLINK("https://athena.uww.org/p/4803")</f>
        <v>0</v>
      </c>
    </row>
    <row r="1215" spans="1:9">
      <c r="A1215">
        <v>85175</v>
      </c>
      <c r="B1215" t="s">
        <v>1222</v>
      </c>
      <c r="C1215" t="s">
        <v>1339</v>
      </c>
      <c r="D1215" t="s">
        <v>1434</v>
      </c>
      <c r="E1215" t="s">
        <v>1441</v>
      </c>
      <c r="F1215" t="s">
        <v>2586</v>
      </c>
      <c r="G1215" t="b">
        <v>1</v>
      </c>
      <c r="H1215">
        <f>HYPERLINK("https://athena.uww.org/media/cache/person_default/uploads/images/crop/62bda79cd231d512385056.png")</f>
        <v>0</v>
      </c>
      <c r="I1215">
        <f>HYPERLINK("https://athena.uww.org/p/85175")</f>
        <v>0</v>
      </c>
    </row>
    <row r="1216" spans="1:9">
      <c r="A1216">
        <v>5238</v>
      </c>
      <c r="B1216" t="s">
        <v>1223</v>
      </c>
      <c r="C1216" t="s">
        <v>1339</v>
      </c>
      <c r="D1216" t="s">
        <v>1434</v>
      </c>
      <c r="E1216" t="s">
        <v>1441</v>
      </c>
      <c r="F1216" t="s">
        <v>2587</v>
      </c>
      <c r="G1216" t="b">
        <v>1</v>
      </c>
      <c r="H1216">
        <f>HYPERLINK("https://athena.uww.org/media/cache/person_default/uploads/images/crop/675bd002243e4926188277.png")</f>
        <v>0</v>
      </c>
      <c r="I1216">
        <f>HYPERLINK("https://athena.uww.org/p/5238")</f>
        <v>0</v>
      </c>
    </row>
    <row r="1217" spans="1:9">
      <c r="A1217">
        <v>4190</v>
      </c>
      <c r="B1217" t="s">
        <v>1224</v>
      </c>
      <c r="C1217" t="s">
        <v>1340</v>
      </c>
      <c r="D1217" t="s">
        <v>1434</v>
      </c>
      <c r="E1217" t="s">
        <v>1441</v>
      </c>
      <c r="F1217" t="s">
        <v>2410</v>
      </c>
      <c r="G1217" t="b">
        <v>1</v>
      </c>
      <c r="H1217">
        <f>HYPERLINK("https://athena.uww.org/media/cache/person_default/uploads/images/crop/62a6db599f424152205845.png")</f>
        <v>0</v>
      </c>
      <c r="I1217">
        <f>HYPERLINK("https://athena.uww.org/p/4190")</f>
        <v>0</v>
      </c>
    </row>
    <row r="1218" spans="1:9">
      <c r="A1218">
        <v>85177</v>
      </c>
      <c r="B1218" t="s">
        <v>1225</v>
      </c>
      <c r="C1218" t="s">
        <v>1340</v>
      </c>
      <c r="D1218" t="s">
        <v>1434</v>
      </c>
      <c r="E1218" t="s">
        <v>1441</v>
      </c>
      <c r="F1218" t="s">
        <v>2588</v>
      </c>
      <c r="G1218" t="b">
        <v>1</v>
      </c>
      <c r="H1218">
        <f>HYPERLINK("https://athena.uww.org/media/cache/person_default/uploads/images/crop/62beebf19087e222012140.png")</f>
        <v>0</v>
      </c>
      <c r="I1218">
        <f>HYPERLINK("https://athena.uww.org/p/85177")</f>
        <v>0</v>
      </c>
    </row>
    <row r="1219" spans="1:9">
      <c r="A1219">
        <v>4491</v>
      </c>
      <c r="B1219" t="s">
        <v>1226</v>
      </c>
      <c r="C1219" t="s">
        <v>1339</v>
      </c>
      <c r="D1219" t="s">
        <v>1434</v>
      </c>
      <c r="E1219" t="s">
        <v>1441</v>
      </c>
      <c r="F1219" t="s">
        <v>2589</v>
      </c>
      <c r="G1219" t="b">
        <v>1</v>
      </c>
      <c r="H1219">
        <f>HYPERLINK("https://athena.uww.org/media/cache/person_default/uploads/images/crop/64513e0abc127224194461.png")</f>
        <v>0</v>
      </c>
      <c r="I1219">
        <f>HYPERLINK("https://athena.uww.org/p/4491")</f>
        <v>0</v>
      </c>
    </row>
    <row r="1220" spans="1:9">
      <c r="A1220">
        <v>4800</v>
      </c>
      <c r="B1220" t="s">
        <v>1227</v>
      </c>
      <c r="C1220" t="s">
        <v>1339</v>
      </c>
      <c r="D1220" t="s">
        <v>1434</v>
      </c>
      <c r="E1220" t="s">
        <v>1441</v>
      </c>
      <c r="F1220" t="s">
        <v>2590</v>
      </c>
      <c r="G1220" t="b">
        <v>1</v>
      </c>
      <c r="H1220">
        <f>HYPERLINK("https://athena.uww.org/media/cache/person_default/uploads/images/569c95130da5a.jpg")</f>
        <v>0</v>
      </c>
      <c r="I1220">
        <f>HYPERLINK("https://athena.uww.org/p/4800")</f>
        <v>0</v>
      </c>
    </row>
    <row r="1221" spans="1:9">
      <c r="A1221">
        <v>5243</v>
      </c>
      <c r="B1221" t="s">
        <v>1228</v>
      </c>
      <c r="C1221" t="s">
        <v>1339</v>
      </c>
      <c r="D1221" t="s">
        <v>1434</v>
      </c>
      <c r="E1221" t="s">
        <v>1441</v>
      </c>
      <c r="F1221" t="s">
        <v>2591</v>
      </c>
      <c r="G1221" t="b">
        <v>1</v>
      </c>
      <c r="H1221">
        <f>HYPERLINK("https://athena.uww.org/media/cache/person_default/uploads/images/referee-5243.jpg")</f>
        <v>0</v>
      </c>
      <c r="I1221">
        <f>HYPERLINK("https://athena.uww.org/p/5243")</f>
        <v>0</v>
      </c>
    </row>
    <row r="1222" spans="1:9">
      <c r="A1222">
        <v>47668</v>
      </c>
      <c r="B1222" t="s">
        <v>1229</v>
      </c>
      <c r="C1222" t="s">
        <v>1339</v>
      </c>
      <c r="D1222" t="s">
        <v>1434</v>
      </c>
      <c r="E1222" t="s">
        <v>1441</v>
      </c>
      <c r="F1222" t="s">
        <v>2592</v>
      </c>
      <c r="G1222" t="b">
        <v>1</v>
      </c>
      <c r="H1222">
        <f>HYPERLINK("https://athena.uww.org/media/cache/person_default/uploads/images/crop/59a6ab620579f.png")</f>
        <v>0</v>
      </c>
      <c r="I1222">
        <f>HYPERLINK("https://athena.uww.org/p/47668")</f>
        <v>0</v>
      </c>
    </row>
    <row r="1223" spans="1:9">
      <c r="A1223">
        <v>67645</v>
      </c>
      <c r="B1223" t="s">
        <v>1230</v>
      </c>
      <c r="C1223" t="s">
        <v>1339</v>
      </c>
      <c r="D1223" t="s">
        <v>1434</v>
      </c>
      <c r="E1223" t="s">
        <v>1441</v>
      </c>
      <c r="F1223" t="s">
        <v>2593</v>
      </c>
      <c r="G1223" t="b">
        <v>1</v>
      </c>
      <c r="H1223">
        <f>HYPERLINK("https://athena.uww.org/media/cache/person_default/uploads/images/crop/5d2437d2630cb182408426.png")</f>
        <v>0</v>
      </c>
      <c r="I1223">
        <f>HYPERLINK("https://athena.uww.org/p/67645")</f>
        <v>0</v>
      </c>
    </row>
    <row r="1224" spans="1:9">
      <c r="A1224">
        <v>39683</v>
      </c>
      <c r="B1224" t="s">
        <v>1231</v>
      </c>
      <c r="C1224" t="s">
        <v>1340</v>
      </c>
      <c r="D1224" t="s">
        <v>1434</v>
      </c>
      <c r="E1224" t="s">
        <v>1441</v>
      </c>
      <c r="F1224" t="s">
        <v>2594</v>
      </c>
      <c r="G1224" t="b">
        <v>1</v>
      </c>
      <c r="H1224">
        <f>HYPERLINK("https://athena.uww.org/media/cache/person_default/uploads/images/crop/57a0b61933494.png")</f>
        <v>0</v>
      </c>
      <c r="I1224">
        <f>HYPERLINK("https://athena.uww.org/p/39683")</f>
        <v>0</v>
      </c>
    </row>
    <row r="1225" spans="1:9">
      <c r="A1225">
        <v>67473</v>
      </c>
      <c r="B1225" t="s">
        <v>1232</v>
      </c>
      <c r="C1225" t="s">
        <v>1339</v>
      </c>
      <c r="D1225" t="s">
        <v>1434</v>
      </c>
      <c r="E1225" t="s">
        <v>1441</v>
      </c>
      <c r="F1225" t="s">
        <v>1719</v>
      </c>
      <c r="G1225" t="b">
        <v>1</v>
      </c>
      <c r="H1225">
        <f>HYPERLINK("https://athena.uww.org/media/cache/person_default/uploads/images/crop/5d1454e271d05740286769.png")</f>
        <v>0</v>
      </c>
      <c r="I1225">
        <f>HYPERLINK("https://athena.uww.org/p/67473")</f>
        <v>0</v>
      </c>
    </row>
    <row r="1226" spans="1:9">
      <c r="A1226">
        <v>5064</v>
      </c>
      <c r="B1226" t="s">
        <v>1233</v>
      </c>
      <c r="C1226" t="s">
        <v>1339</v>
      </c>
      <c r="D1226" t="s">
        <v>1434</v>
      </c>
      <c r="E1226" t="s">
        <v>1441</v>
      </c>
      <c r="F1226" t="s">
        <v>2595</v>
      </c>
      <c r="G1226" t="b">
        <v>1</v>
      </c>
      <c r="H1226">
        <f>HYPERLINK("https://athena.uww.org/media/cache/person_default/uploads/images/referee-5064.jpg")</f>
        <v>0</v>
      </c>
      <c r="I1226">
        <f>HYPERLINK("https://athena.uww.org/p/5064")</f>
        <v>0</v>
      </c>
    </row>
    <row r="1227" spans="1:9">
      <c r="A1227">
        <v>67472</v>
      </c>
      <c r="B1227" t="s">
        <v>1234</v>
      </c>
      <c r="C1227" t="s">
        <v>1339</v>
      </c>
      <c r="D1227" t="s">
        <v>1434</v>
      </c>
      <c r="E1227" t="s">
        <v>1441</v>
      </c>
      <c r="F1227" t="s">
        <v>2596</v>
      </c>
      <c r="G1227" t="b">
        <v>1</v>
      </c>
      <c r="H1227">
        <f>HYPERLINK("https://athena.uww.org/media/cache/person_default/uploads/images/crop/5d1454f2164bd288948617.png")</f>
        <v>0</v>
      </c>
      <c r="I1227">
        <f>HYPERLINK("https://athena.uww.org/p/67472")</f>
        <v>0</v>
      </c>
    </row>
    <row r="1228" spans="1:9">
      <c r="A1228">
        <v>5386</v>
      </c>
      <c r="B1228" t="s">
        <v>1235</v>
      </c>
      <c r="C1228" t="s">
        <v>1339</v>
      </c>
      <c r="D1228" t="s">
        <v>1434</v>
      </c>
      <c r="E1228" t="s">
        <v>1441</v>
      </c>
      <c r="F1228" t="s">
        <v>2597</v>
      </c>
      <c r="G1228" t="b">
        <v>1</v>
      </c>
      <c r="H1228">
        <f>HYPERLINK("https://athena.uww.org/media/cache/person_default/uploads/images/referee-5386.jpg")</f>
        <v>0</v>
      </c>
      <c r="I1228">
        <f>HYPERLINK("https://athena.uww.org/p/5386")</f>
        <v>0</v>
      </c>
    </row>
    <row r="1229" spans="1:9">
      <c r="A1229">
        <v>5242</v>
      </c>
      <c r="B1229" t="s">
        <v>1236</v>
      </c>
      <c r="C1229" t="s">
        <v>1339</v>
      </c>
      <c r="D1229" t="s">
        <v>1434</v>
      </c>
      <c r="E1229" t="s">
        <v>1441</v>
      </c>
      <c r="F1229" t="s">
        <v>2598</v>
      </c>
      <c r="G1229" t="b">
        <v>1</v>
      </c>
      <c r="H1229">
        <f>HYPERLINK("https://athena.uww.org/media/cache/person_default/uploads/images/referee-5242.jpg")</f>
        <v>0</v>
      </c>
      <c r="I1229">
        <f>HYPERLINK("https://athena.uww.org/p/5242")</f>
        <v>0</v>
      </c>
    </row>
    <row r="1230" spans="1:9">
      <c r="A1230">
        <v>60130</v>
      </c>
      <c r="B1230" t="s">
        <v>1237</v>
      </c>
      <c r="C1230" t="s">
        <v>1339</v>
      </c>
      <c r="D1230" t="s">
        <v>1434</v>
      </c>
      <c r="E1230" t="s">
        <v>1441</v>
      </c>
      <c r="F1230" t="s">
        <v>2599</v>
      </c>
      <c r="G1230" t="b">
        <v>1</v>
      </c>
      <c r="H1230">
        <f>HYPERLINK("https://athena.uww.org/media/cache/person_default/uploads/images/crop/5b8d321c48400.png")</f>
        <v>0</v>
      </c>
      <c r="I1230">
        <f>HYPERLINK("https://athena.uww.org/p/60130")</f>
        <v>0</v>
      </c>
    </row>
    <row r="1231" spans="1:9">
      <c r="A1231">
        <v>3700</v>
      </c>
      <c r="B1231" t="s">
        <v>1238</v>
      </c>
      <c r="C1231" t="s">
        <v>1339</v>
      </c>
      <c r="D1231" t="s">
        <v>1434</v>
      </c>
      <c r="E1231" t="s">
        <v>1441</v>
      </c>
      <c r="F1231" t="s">
        <v>2600</v>
      </c>
      <c r="G1231" t="b">
        <v>1</v>
      </c>
      <c r="H1231">
        <f>HYPERLINK("https://athena.uww.org/media/cache/person_default/uploads/images/referee-3700.jpg")</f>
        <v>0</v>
      </c>
      <c r="I1231">
        <f>HYPERLINK("https://athena.uww.org/p/3700")</f>
        <v>0</v>
      </c>
    </row>
    <row r="1232" spans="1:9">
      <c r="A1232">
        <v>4810</v>
      </c>
      <c r="B1232" t="s">
        <v>1239</v>
      </c>
      <c r="C1232" t="s">
        <v>1339</v>
      </c>
      <c r="D1232" t="s">
        <v>1434</v>
      </c>
      <c r="E1232" t="s">
        <v>1441</v>
      </c>
      <c r="F1232" t="s">
        <v>2601</v>
      </c>
      <c r="G1232" t="b">
        <v>1</v>
      </c>
      <c r="H1232">
        <f>HYPERLINK("https://athena.uww.org/media/cache/person_default/uploads/images/referee-4810.jpg")</f>
        <v>0</v>
      </c>
      <c r="I1232">
        <f>HYPERLINK("https://athena.uww.org/p/4810")</f>
        <v>0</v>
      </c>
    </row>
    <row r="1233" spans="1:9">
      <c r="A1233">
        <v>47300</v>
      </c>
      <c r="B1233" t="s">
        <v>1240</v>
      </c>
      <c r="C1233" t="s">
        <v>1340</v>
      </c>
      <c r="D1233" t="s">
        <v>1434</v>
      </c>
      <c r="E1233" t="s">
        <v>1441</v>
      </c>
      <c r="F1233" t="s">
        <v>2602</v>
      </c>
      <c r="G1233" t="b">
        <v>1</v>
      </c>
      <c r="H1233">
        <f>HYPERLINK("https://athena.uww.org/media/cache/person_default/uploads/images/crop/59a6aa44d5996.png")</f>
        <v>0</v>
      </c>
      <c r="I1233">
        <f>HYPERLINK("https://athena.uww.org/p/47300")</f>
        <v>0</v>
      </c>
    </row>
    <row r="1234" spans="1:9">
      <c r="A1234">
        <v>59456</v>
      </c>
      <c r="B1234" t="s">
        <v>1241</v>
      </c>
      <c r="C1234" t="s">
        <v>1340</v>
      </c>
      <c r="D1234" t="s">
        <v>1434</v>
      </c>
      <c r="E1234" t="s">
        <v>1441</v>
      </c>
      <c r="F1234" t="s">
        <v>2603</v>
      </c>
      <c r="G1234" t="b">
        <v>1</v>
      </c>
      <c r="H1234">
        <f>HYPERLINK("https://athena.uww.org/media/cache/person_default/uploads/images/crop/5b740ca62940d.png")</f>
        <v>0</v>
      </c>
      <c r="I1234">
        <f>HYPERLINK("https://athena.uww.org/p/59456")</f>
        <v>0</v>
      </c>
    </row>
    <row r="1235" spans="1:9">
      <c r="A1235">
        <v>51204</v>
      </c>
      <c r="B1235" t="s">
        <v>1242</v>
      </c>
      <c r="C1235" t="s">
        <v>1339</v>
      </c>
      <c r="D1235" t="s">
        <v>1434</v>
      </c>
      <c r="E1235" t="s">
        <v>1441</v>
      </c>
      <c r="F1235" t="s">
        <v>2604</v>
      </c>
      <c r="G1235" t="b">
        <v>1</v>
      </c>
      <c r="H1235">
        <f>HYPERLINK("https://athena.uww.org/media/cache/person_default/uploads/images/crop/59ad4cb51cc63.png")</f>
        <v>0</v>
      </c>
      <c r="I1235">
        <f>HYPERLINK("https://athena.uww.org/p/51204")</f>
        <v>0</v>
      </c>
    </row>
    <row r="1236" spans="1:9">
      <c r="A1236">
        <v>4805</v>
      </c>
      <c r="B1236" t="s">
        <v>1243</v>
      </c>
      <c r="C1236" t="s">
        <v>1339</v>
      </c>
      <c r="D1236" t="s">
        <v>1434</v>
      </c>
      <c r="E1236" t="s">
        <v>1441</v>
      </c>
      <c r="F1236" t="s">
        <v>2359</v>
      </c>
      <c r="G1236" t="b">
        <v>1</v>
      </c>
      <c r="H1236">
        <f>HYPERLINK("https://athena.uww.org/media/cache/person_default/uploads/images/referee-4805.jpg")</f>
        <v>0</v>
      </c>
      <c r="I1236">
        <f>HYPERLINK("https://athena.uww.org/p/4805")</f>
        <v>0</v>
      </c>
    </row>
    <row r="1237" spans="1:9">
      <c r="A1237">
        <v>85174</v>
      </c>
      <c r="B1237" t="s">
        <v>1244</v>
      </c>
      <c r="C1237" t="s">
        <v>1339</v>
      </c>
      <c r="D1237" t="s">
        <v>1434</v>
      </c>
      <c r="E1237" t="s">
        <v>1439</v>
      </c>
      <c r="F1237" t="s">
        <v>2605</v>
      </c>
      <c r="G1237" t="b">
        <v>1</v>
      </c>
      <c r="H1237">
        <f>HYPERLINK("https://athena.uww.org/media/cache/person_default/uploads/images/crop/62bda85647657141687647.png")</f>
        <v>0</v>
      </c>
      <c r="I1237">
        <f>HYPERLINK("https://athena.uww.org/p/85174")</f>
        <v>0</v>
      </c>
    </row>
    <row r="1238" spans="1:9">
      <c r="A1238">
        <v>85173</v>
      </c>
      <c r="B1238" t="s">
        <v>1245</v>
      </c>
      <c r="C1238" t="s">
        <v>1339</v>
      </c>
      <c r="D1238" t="s">
        <v>1434</v>
      </c>
      <c r="E1238" t="s">
        <v>1439</v>
      </c>
      <c r="F1238" t="s">
        <v>2606</v>
      </c>
      <c r="G1238" t="b">
        <v>1</v>
      </c>
      <c r="H1238">
        <f>HYPERLINK("https://athena.uww.org/media/cache/person_default/uploads/images/crop/62bda659ab5b6096392857.png")</f>
        <v>0</v>
      </c>
      <c r="I1238">
        <f>HYPERLINK("https://athena.uww.org/p/85173")</f>
        <v>0</v>
      </c>
    </row>
    <row r="1239" spans="1:9">
      <c r="A1239">
        <v>39533</v>
      </c>
      <c r="B1239" t="s">
        <v>1246</v>
      </c>
      <c r="C1239" t="s">
        <v>1339</v>
      </c>
      <c r="D1239" t="s">
        <v>1434</v>
      </c>
      <c r="E1239" t="s">
        <v>1439</v>
      </c>
      <c r="F1239" t="s">
        <v>2607</v>
      </c>
      <c r="G1239" t="b">
        <v>1</v>
      </c>
      <c r="H1239">
        <f>HYPERLINK("https://athena.uww.org/media/cache/person_default/uploads/images/crop/5785da38e866d.png")</f>
        <v>0</v>
      </c>
      <c r="I1239">
        <f>HYPERLINK("https://athena.uww.org/p/39533")</f>
        <v>0</v>
      </c>
    </row>
    <row r="1240" spans="1:9">
      <c r="A1240">
        <v>86411</v>
      </c>
      <c r="B1240" t="s">
        <v>1247</v>
      </c>
      <c r="C1240" t="s">
        <v>1339</v>
      </c>
      <c r="D1240" t="s">
        <v>1434</v>
      </c>
      <c r="E1240" t="s">
        <v>1439</v>
      </c>
      <c r="F1240" t="s">
        <v>2608</v>
      </c>
      <c r="G1240" t="b">
        <v>1</v>
      </c>
      <c r="H1240">
        <f>HYPERLINK("https://athena.uww.org/media/cache/person_default/uploads/images/crop/6319eddb7a435205711623.png")</f>
        <v>0</v>
      </c>
      <c r="I1240">
        <f>HYPERLINK("https://athena.uww.org/p/86411")</f>
        <v>0</v>
      </c>
    </row>
    <row r="1241" spans="1:9">
      <c r="A1241">
        <v>59461</v>
      </c>
      <c r="B1241" t="s">
        <v>1248</v>
      </c>
      <c r="C1241" t="s">
        <v>1339</v>
      </c>
      <c r="D1241" t="s">
        <v>1434</v>
      </c>
      <c r="E1241" t="s">
        <v>1439</v>
      </c>
      <c r="F1241" t="s">
        <v>2609</v>
      </c>
      <c r="G1241" t="b">
        <v>1</v>
      </c>
      <c r="H1241">
        <f>HYPERLINK("https://athena.uww.org/media/cache/person_default/uploads/images/crop/5b7407f16627d.png")</f>
        <v>0</v>
      </c>
      <c r="I1241">
        <f>HYPERLINK("https://athena.uww.org/p/59461")</f>
        <v>0</v>
      </c>
    </row>
    <row r="1242" spans="1:9">
      <c r="A1242">
        <v>59462</v>
      </c>
      <c r="B1242" t="s">
        <v>1249</v>
      </c>
      <c r="C1242" t="s">
        <v>1339</v>
      </c>
      <c r="D1242" t="s">
        <v>1434</v>
      </c>
      <c r="E1242" t="s">
        <v>1439</v>
      </c>
      <c r="F1242" t="s">
        <v>2610</v>
      </c>
      <c r="G1242" t="b">
        <v>1</v>
      </c>
      <c r="H1242">
        <f>HYPERLINK("https://athena.uww.org/media/cache/person_default/uploads/images/crop/5b74083413776.png")</f>
        <v>0</v>
      </c>
      <c r="I1242">
        <f>HYPERLINK("https://athena.uww.org/p/59462")</f>
        <v>0</v>
      </c>
    </row>
    <row r="1243" spans="1:9">
      <c r="A1243">
        <v>86850</v>
      </c>
      <c r="B1243" t="s">
        <v>1250</v>
      </c>
      <c r="C1243" t="s">
        <v>1339</v>
      </c>
      <c r="D1243" t="s">
        <v>1434</v>
      </c>
      <c r="E1243" t="s">
        <v>1439</v>
      </c>
      <c r="F1243" t="s">
        <v>2611</v>
      </c>
      <c r="G1243" t="b">
        <v>1</v>
      </c>
      <c r="H1243">
        <f>HYPERLINK("https://athena.uww.org/media/cache/person_default/uploads/images/crop/6329697168fc0013150080.png")</f>
        <v>0</v>
      </c>
      <c r="I1243">
        <f>HYPERLINK("https://athena.uww.org/p/86850")</f>
        <v>0</v>
      </c>
    </row>
    <row r="1244" spans="1:9">
      <c r="A1244">
        <v>85176</v>
      </c>
      <c r="B1244" t="s">
        <v>1251</v>
      </c>
      <c r="C1244" t="s">
        <v>1339</v>
      </c>
      <c r="D1244" t="s">
        <v>1434</v>
      </c>
      <c r="E1244" t="s">
        <v>1439</v>
      </c>
      <c r="F1244" t="s">
        <v>2612</v>
      </c>
      <c r="G1244" t="b">
        <v>1</v>
      </c>
      <c r="H1244">
        <f>HYPERLINK("https://athena.uww.org/media/cache/person_default/uploads/images/crop/62bda8bbb183b964444018.png")</f>
        <v>0</v>
      </c>
      <c r="I1244">
        <f>HYPERLINK("https://athena.uww.org/p/85176")</f>
        <v>0</v>
      </c>
    </row>
    <row r="1245" spans="1:9">
      <c r="A1245">
        <v>93175</v>
      </c>
      <c r="B1245" t="s">
        <v>1252</v>
      </c>
      <c r="C1245" t="s">
        <v>1339</v>
      </c>
      <c r="D1245" t="s">
        <v>1434</v>
      </c>
      <c r="E1245" t="s">
        <v>1439</v>
      </c>
      <c r="F1245" t="s">
        <v>2613</v>
      </c>
      <c r="G1245" t="b">
        <v>1</v>
      </c>
      <c r="H1245">
        <f>HYPERLINK("https://athena.uww.org/media/cache/person_default/uploads/images/crop/649be2463e7ba826458651.png")</f>
        <v>0</v>
      </c>
      <c r="I1245">
        <f>HYPERLINK("https://athena.uww.org/p/93175")</f>
        <v>0</v>
      </c>
    </row>
    <row r="1246" spans="1:9">
      <c r="A1246">
        <v>5236</v>
      </c>
      <c r="B1246" t="s">
        <v>1253</v>
      </c>
      <c r="C1246" t="s">
        <v>1339</v>
      </c>
      <c r="D1246" t="s">
        <v>1434</v>
      </c>
      <c r="E1246" t="s">
        <v>1439</v>
      </c>
      <c r="F1246" t="s">
        <v>2614</v>
      </c>
      <c r="G1246" t="b">
        <v>1</v>
      </c>
      <c r="H1246">
        <f>HYPERLINK("https://athena.uww.org/media/cache/person_default/uploads/images/referee-5236.jpg")</f>
        <v>0</v>
      </c>
      <c r="I1246">
        <f>HYPERLINK("https://athena.uww.org/p/5236")</f>
        <v>0</v>
      </c>
    </row>
    <row r="1247" spans="1:9">
      <c r="A1247">
        <v>4186</v>
      </c>
      <c r="B1247" t="s">
        <v>1254</v>
      </c>
      <c r="C1247" t="s">
        <v>1339</v>
      </c>
      <c r="D1247" t="s">
        <v>1434</v>
      </c>
      <c r="E1247" t="s">
        <v>1439</v>
      </c>
      <c r="F1247" t="s">
        <v>2615</v>
      </c>
      <c r="G1247" t="b">
        <v>1</v>
      </c>
      <c r="H1247">
        <f>HYPERLINK("https://athena.uww.org/media/cache/person_default/uploads/images/5694b2d5a1831.jpg")</f>
        <v>0</v>
      </c>
      <c r="I1247">
        <f>HYPERLINK("https://athena.uww.org/p/4186")</f>
        <v>0</v>
      </c>
    </row>
    <row r="1248" spans="1:9">
      <c r="A1248">
        <v>99356</v>
      </c>
      <c r="B1248" t="s">
        <v>1255</v>
      </c>
      <c r="C1248" t="s">
        <v>1339</v>
      </c>
      <c r="D1248" t="s">
        <v>1434</v>
      </c>
      <c r="E1248" t="s">
        <v>1439</v>
      </c>
      <c r="F1248" t="s">
        <v>2616</v>
      </c>
      <c r="G1248" t="b">
        <v>1</v>
      </c>
      <c r="H1248">
        <f>HYPERLINK("https://athena.uww.org/media/cache/person_default/uploads/images/crop/661f2566031bb322634043.png")</f>
        <v>0</v>
      </c>
      <c r="I1248">
        <f>HYPERLINK("https://athena.uww.org/p/99356")</f>
        <v>0</v>
      </c>
    </row>
    <row r="1249" spans="1:9">
      <c r="A1249">
        <v>85179</v>
      </c>
      <c r="B1249" t="s">
        <v>1256</v>
      </c>
      <c r="C1249" t="s">
        <v>1339</v>
      </c>
      <c r="D1249" t="s">
        <v>1434</v>
      </c>
      <c r="E1249" t="s">
        <v>1439</v>
      </c>
      <c r="F1249" t="s">
        <v>2617</v>
      </c>
      <c r="G1249" t="b">
        <v>1</v>
      </c>
      <c r="H1249">
        <f>HYPERLINK("https://athena.uww.org/media/cache/person_default/uploads/images/crop/62bda9545570a639603356.png")</f>
        <v>0</v>
      </c>
      <c r="I1249">
        <f>HYPERLINK("https://athena.uww.org/p/85179")</f>
        <v>0</v>
      </c>
    </row>
    <row r="1250" spans="1:9">
      <c r="A1250">
        <v>93176</v>
      </c>
      <c r="B1250" t="s">
        <v>1257</v>
      </c>
      <c r="C1250" t="s">
        <v>1339</v>
      </c>
      <c r="D1250" t="s">
        <v>1434</v>
      </c>
      <c r="E1250" t="s">
        <v>1439</v>
      </c>
      <c r="F1250" t="s">
        <v>2618</v>
      </c>
      <c r="G1250" t="b">
        <v>1</v>
      </c>
      <c r="H1250">
        <f>HYPERLINK("https://athena.uww.org/media/cache/person_default/uploads/images/crop/64a27160aac1b392890858.png")</f>
        <v>0</v>
      </c>
      <c r="I1250">
        <f>HYPERLINK("https://athena.uww.org/p/93176")</f>
        <v>0</v>
      </c>
    </row>
    <row r="1251" spans="1:9">
      <c r="A1251">
        <v>101930</v>
      </c>
      <c r="B1251" t="s">
        <v>1258</v>
      </c>
      <c r="C1251" t="s">
        <v>1339</v>
      </c>
      <c r="D1251" t="s">
        <v>1434</v>
      </c>
      <c r="E1251" t="s">
        <v>1439</v>
      </c>
      <c r="F1251" t="s">
        <v>2619</v>
      </c>
      <c r="G1251" t="b">
        <v>1</v>
      </c>
      <c r="H1251">
        <f>HYPERLINK("https://athena.uww.org/media/cache/person_default/uploads/images/crop/6674539d1272f326614278.png")</f>
        <v>0</v>
      </c>
      <c r="I1251">
        <f>HYPERLINK("https://athena.uww.org/p/101930")</f>
        <v>0</v>
      </c>
    </row>
    <row r="1252" spans="1:9">
      <c r="A1252">
        <v>4802</v>
      </c>
      <c r="B1252" t="s">
        <v>1259</v>
      </c>
      <c r="C1252" t="s">
        <v>1339</v>
      </c>
      <c r="D1252" t="s">
        <v>1434</v>
      </c>
      <c r="E1252" t="s">
        <v>1439</v>
      </c>
      <c r="F1252" t="s">
        <v>2620</v>
      </c>
      <c r="G1252" t="b">
        <v>1</v>
      </c>
      <c r="H1252">
        <f>HYPERLINK("https://athena.uww.org/media/cache/person_default/uploads/images/referee-4802.jpg")</f>
        <v>0</v>
      </c>
      <c r="I1252">
        <f>HYPERLINK("https://athena.uww.org/p/4802")</f>
        <v>0</v>
      </c>
    </row>
    <row r="1253" spans="1:9">
      <c r="A1253">
        <v>85170</v>
      </c>
      <c r="B1253" t="s">
        <v>1260</v>
      </c>
      <c r="C1253" t="s">
        <v>1339</v>
      </c>
      <c r="D1253" t="s">
        <v>1434</v>
      </c>
      <c r="E1253" t="s">
        <v>1439</v>
      </c>
      <c r="F1253" t="s">
        <v>2621</v>
      </c>
      <c r="G1253" t="b">
        <v>1</v>
      </c>
      <c r="H1253">
        <f>HYPERLINK("https://athena.uww.org/media/cache/person_default/uploads/images/crop/62bda885344d0703695349.png")</f>
        <v>0</v>
      </c>
      <c r="I1253">
        <f>HYPERLINK("https://athena.uww.org/p/85170")</f>
        <v>0</v>
      </c>
    </row>
    <row r="1254" spans="1:9">
      <c r="A1254">
        <v>4809</v>
      </c>
      <c r="B1254" t="s">
        <v>1261</v>
      </c>
      <c r="C1254" t="s">
        <v>1339</v>
      </c>
      <c r="D1254" t="s">
        <v>1434</v>
      </c>
      <c r="E1254" t="s">
        <v>1439</v>
      </c>
      <c r="F1254" t="s">
        <v>2622</v>
      </c>
      <c r="G1254" t="b">
        <v>1</v>
      </c>
      <c r="H1254">
        <f>HYPERLINK("https://athena.uww.org/media/cache/person_default/uploads/images/referee-4809.jpg")</f>
        <v>0</v>
      </c>
      <c r="I1254">
        <f>HYPERLINK("https://athena.uww.org/p/4809")</f>
        <v>0</v>
      </c>
    </row>
    <row r="1255" spans="1:9">
      <c r="A1255">
        <v>59459</v>
      </c>
      <c r="B1255" t="s">
        <v>1262</v>
      </c>
      <c r="C1255" t="s">
        <v>1339</v>
      </c>
      <c r="D1255" t="s">
        <v>1434</v>
      </c>
      <c r="E1255" t="s">
        <v>1439</v>
      </c>
      <c r="F1255" t="s">
        <v>2623</v>
      </c>
      <c r="G1255" t="b">
        <v>1</v>
      </c>
      <c r="H1255">
        <f>HYPERLINK("https://athena.uww.org/media/cache/person_default/uploads/images/crop/5b7408e1a8be6.png")</f>
        <v>0</v>
      </c>
      <c r="I1255">
        <f>HYPERLINK("https://athena.uww.org/p/59459")</f>
        <v>0</v>
      </c>
    </row>
    <row r="1256" spans="1:9">
      <c r="A1256">
        <v>93178</v>
      </c>
      <c r="B1256" t="s">
        <v>1263</v>
      </c>
      <c r="C1256" t="s">
        <v>1339</v>
      </c>
      <c r="D1256" t="s">
        <v>1434</v>
      </c>
      <c r="E1256" t="s">
        <v>1439</v>
      </c>
      <c r="F1256" t="s">
        <v>2624</v>
      </c>
      <c r="G1256" t="b">
        <v>1</v>
      </c>
      <c r="H1256">
        <f>HYPERLINK("https://athena.uww.org/media/cache/person_default/uploads/images/crop/649be1710706f109216839.png")</f>
        <v>0</v>
      </c>
      <c r="I1256">
        <f>HYPERLINK("https://athena.uww.org/p/93178")</f>
        <v>0</v>
      </c>
    </row>
    <row r="1257" spans="1:9">
      <c r="A1257">
        <v>59457</v>
      </c>
      <c r="B1257" t="s">
        <v>1264</v>
      </c>
      <c r="C1257" t="s">
        <v>1339</v>
      </c>
      <c r="D1257" t="s">
        <v>1434</v>
      </c>
      <c r="E1257" t="s">
        <v>1439</v>
      </c>
      <c r="F1257" t="s">
        <v>2625</v>
      </c>
      <c r="G1257" t="b">
        <v>1</v>
      </c>
      <c r="H1257">
        <f>HYPERLINK("https://athena.uww.org/media/cache/person_default/uploads/images/crop/5b74097542e3b.png")</f>
        <v>0</v>
      </c>
      <c r="I1257">
        <f>HYPERLINK("https://athena.uww.org/p/59457")</f>
        <v>0</v>
      </c>
    </row>
    <row r="1258" spans="1:9">
      <c r="A1258">
        <v>59495</v>
      </c>
      <c r="B1258" t="s">
        <v>1265</v>
      </c>
      <c r="C1258" t="s">
        <v>1339</v>
      </c>
      <c r="D1258" t="s">
        <v>1434</v>
      </c>
      <c r="E1258" t="s">
        <v>1439</v>
      </c>
      <c r="F1258" t="s">
        <v>2626</v>
      </c>
      <c r="G1258" t="b">
        <v>1</v>
      </c>
      <c r="H1258">
        <f>HYPERLINK("https://athena.uww.org/media/cache/person_default/uploads/images/crop/5b740a062269e.png")</f>
        <v>0</v>
      </c>
      <c r="I1258">
        <f>HYPERLINK("https://athena.uww.org/p/59495")</f>
        <v>0</v>
      </c>
    </row>
    <row r="1259" spans="1:9">
      <c r="A1259">
        <v>4664</v>
      </c>
      <c r="B1259" t="s">
        <v>1266</v>
      </c>
      <c r="C1259" t="s">
        <v>1339</v>
      </c>
      <c r="D1259" t="s">
        <v>1434</v>
      </c>
      <c r="E1259" t="s">
        <v>1439</v>
      </c>
      <c r="F1259" t="s">
        <v>2627</v>
      </c>
      <c r="G1259" t="b">
        <v>1</v>
      </c>
      <c r="H1259">
        <f>HYPERLINK("https://athena.uww.org/media/cache/person_default/uploads/images/referee-4664.jpg")</f>
        <v>0</v>
      </c>
      <c r="I1259">
        <f>HYPERLINK("https://athena.uww.org/p/4664")</f>
        <v>0</v>
      </c>
    </row>
    <row r="1260" spans="1:9">
      <c r="A1260">
        <v>39682</v>
      </c>
      <c r="B1260" t="s">
        <v>1267</v>
      </c>
      <c r="C1260" t="s">
        <v>1339</v>
      </c>
      <c r="D1260" t="s">
        <v>1434</v>
      </c>
      <c r="E1260" t="s">
        <v>1439</v>
      </c>
      <c r="F1260" t="s">
        <v>2628</v>
      </c>
      <c r="G1260" t="b">
        <v>1</v>
      </c>
      <c r="H1260">
        <f>HYPERLINK("https://athena.uww.org/media/cache/person_default/uploads/images/crop/6683fd65da98d470999903.png")</f>
        <v>0</v>
      </c>
      <c r="I1260">
        <f>HYPERLINK("https://athena.uww.org/p/39682")</f>
        <v>0</v>
      </c>
    </row>
    <row r="1261" spans="1:9">
      <c r="A1261">
        <v>93179</v>
      </c>
      <c r="B1261" t="s">
        <v>1268</v>
      </c>
      <c r="C1261" t="s">
        <v>1340</v>
      </c>
      <c r="D1261" t="s">
        <v>1434</v>
      </c>
      <c r="E1261" t="s">
        <v>1439</v>
      </c>
      <c r="F1261" t="s">
        <v>2629</v>
      </c>
      <c r="G1261" t="b">
        <v>1</v>
      </c>
      <c r="H1261">
        <f>HYPERLINK("https://athena.uww.org/media/cache/person_default/uploads/images/crop/649be150efc56097685159.png")</f>
        <v>0</v>
      </c>
      <c r="I1261">
        <f>HYPERLINK("https://athena.uww.org/p/93179")</f>
        <v>0</v>
      </c>
    </row>
    <row r="1262" spans="1:9">
      <c r="A1262">
        <v>93312</v>
      </c>
      <c r="B1262" t="s">
        <v>1269</v>
      </c>
      <c r="C1262" t="s">
        <v>1339</v>
      </c>
      <c r="D1262" t="s">
        <v>1434</v>
      </c>
      <c r="E1262" t="s">
        <v>1439</v>
      </c>
      <c r="F1262" t="s">
        <v>2630</v>
      </c>
      <c r="G1262" t="b">
        <v>1</v>
      </c>
      <c r="H1262">
        <f>HYPERLINK("https://athena.uww.org/media/cache/person_default/uploads/images/64a2129c244e8237965429.jpg")</f>
        <v>0</v>
      </c>
      <c r="I1262">
        <f>HYPERLINK("https://athena.uww.org/p/93312")</f>
        <v>0</v>
      </c>
    </row>
    <row r="1263" spans="1:9">
      <c r="A1263">
        <v>93848</v>
      </c>
      <c r="B1263" t="s">
        <v>1270</v>
      </c>
      <c r="C1263" t="s">
        <v>1339</v>
      </c>
      <c r="D1263" t="s">
        <v>1434</v>
      </c>
      <c r="E1263" t="s">
        <v>1439</v>
      </c>
      <c r="F1263" t="s">
        <v>2631</v>
      </c>
      <c r="G1263" t="b">
        <v>1</v>
      </c>
      <c r="H1263">
        <f>HYPERLINK("https://athena.uww.org/media/cache/person_default/uploads/images/crop/64e4b6cbb8476319530436.png")</f>
        <v>0</v>
      </c>
      <c r="I1263">
        <f>HYPERLINK("https://athena.uww.org/p/93848")</f>
        <v>0</v>
      </c>
    </row>
    <row r="1264" spans="1:9">
      <c r="A1264">
        <v>58873</v>
      </c>
      <c r="B1264" t="s">
        <v>1271</v>
      </c>
      <c r="C1264" t="s">
        <v>1340</v>
      </c>
      <c r="D1264" t="s">
        <v>1434</v>
      </c>
      <c r="E1264" t="s">
        <v>1439</v>
      </c>
      <c r="F1264" t="s">
        <v>2632</v>
      </c>
      <c r="G1264" t="b">
        <v>1</v>
      </c>
      <c r="H1264">
        <f>HYPERLINK("https://athena.uww.org/media/cache/person_default/uploads/images/crop/621e9bbaf0fb5510631579.png")</f>
        <v>0</v>
      </c>
      <c r="I1264">
        <f>HYPERLINK("https://athena.uww.org/p/58873")</f>
        <v>0</v>
      </c>
    </row>
    <row r="1265" spans="1:9">
      <c r="A1265">
        <v>101658</v>
      </c>
      <c r="B1265" t="s">
        <v>1272</v>
      </c>
      <c r="C1265" t="s">
        <v>1339</v>
      </c>
      <c r="D1265" t="s">
        <v>1434</v>
      </c>
      <c r="E1265" t="s">
        <v>1439</v>
      </c>
      <c r="F1265" t="s">
        <v>2633</v>
      </c>
      <c r="G1265" t="b">
        <v>1</v>
      </c>
      <c r="H1265">
        <f>HYPERLINK("https://athena.uww.org/media/cache/person_default/uploads/images/crop/66694c4682bfe720330599.png")</f>
        <v>0</v>
      </c>
      <c r="I1265">
        <f>HYPERLINK("https://athena.uww.org/p/101658")</f>
        <v>0</v>
      </c>
    </row>
    <row r="1266" spans="1:9">
      <c r="A1266">
        <v>93181</v>
      </c>
      <c r="B1266" t="s">
        <v>1273</v>
      </c>
      <c r="C1266" t="s">
        <v>1339</v>
      </c>
      <c r="D1266" t="s">
        <v>1434</v>
      </c>
      <c r="E1266" t="s">
        <v>1439</v>
      </c>
      <c r="F1266" t="s">
        <v>2634</v>
      </c>
      <c r="G1266" t="b">
        <v>1</v>
      </c>
      <c r="H1266">
        <f>HYPERLINK("https://athena.uww.org/media/cache/person_default/uploads/images/crop/649bdf226ac74875468926.png")</f>
        <v>0</v>
      </c>
      <c r="I1266">
        <f>HYPERLINK("https://athena.uww.org/p/93181")</f>
        <v>0</v>
      </c>
    </row>
    <row r="1267" spans="1:9">
      <c r="A1267">
        <v>45985</v>
      </c>
      <c r="B1267" t="s">
        <v>1274</v>
      </c>
      <c r="C1267" t="s">
        <v>1339</v>
      </c>
      <c r="D1267" t="s">
        <v>1434</v>
      </c>
      <c r="E1267" t="s">
        <v>1439</v>
      </c>
      <c r="F1267" t="s">
        <v>2635</v>
      </c>
      <c r="G1267" t="b">
        <v>1</v>
      </c>
      <c r="H1267">
        <f>HYPERLINK("https://athena.uww.org/media/cache/person_default/uploads/images/crop/59a6aad9195d6.png")</f>
        <v>0</v>
      </c>
      <c r="I1267">
        <f>HYPERLINK("https://athena.uww.org/p/45985")</f>
        <v>0</v>
      </c>
    </row>
    <row r="1268" spans="1:9">
      <c r="A1268">
        <v>5582</v>
      </c>
      <c r="B1268" t="s">
        <v>1275</v>
      </c>
      <c r="C1268" t="s">
        <v>1339</v>
      </c>
      <c r="D1268" t="s">
        <v>1434</v>
      </c>
      <c r="E1268" t="s">
        <v>1439</v>
      </c>
      <c r="F1268" t="s">
        <v>1817</v>
      </c>
      <c r="G1268" t="b">
        <v>1</v>
      </c>
      <c r="H1268">
        <f>HYPERLINK("https://athena.uww.org/media/cache/person_default/uploads/images/referee-5582.jpg")</f>
        <v>0</v>
      </c>
      <c r="I1268">
        <f>HYPERLINK("https://athena.uww.org/p/5582")</f>
        <v>0</v>
      </c>
    </row>
    <row r="1269" spans="1:9">
      <c r="A1269">
        <v>102102</v>
      </c>
      <c r="B1269" t="s">
        <v>1276</v>
      </c>
      <c r="C1269" t="s">
        <v>1340</v>
      </c>
      <c r="D1269" t="s">
        <v>1434</v>
      </c>
      <c r="E1269" t="s">
        <v>1439</v>
      </c>
      <c r="F1269" t="s">
        <v>2636</v>
      </c>
      <c r="G1269" t="b">
        <v>1</v>
      </c>
      <c r="H1269">
        <f>HYPERLINK("https://athena.uww.org/media/cache/person_default/uploads/images/crop/667bb8eb20c75790974036.png")</f>
        <v>0</v>
      </c>
      <c r="I1269">
        <f>HYPERLINK("https://athena.uww.org/p/102102")</f>
        <v>0</v>
      </c>
    </row>
    <row r="1270" spans="1:9">
      <c r="A1270">
        <v>93182</v>
      </c>
      <c r="B1270" t="s">
        <v>1277</v>
      </c>
      <c r="C1270" t="s">
        <v>1339</v>
      </c>
      <c r="D1270" t="s">
        <v>1434</v>
      </c>
      <c r="E1270" t="s">
        <v>1439</v>
      </c>
      <c r="F1270" t="s">
        <v>2637</v>
      </c>
      <c r="G1270" t="b">
        <v>1</v>
      </c>
      <c r="H1270">
        <f>HYPERLINK("https://athena.uww.org/media/cache/person_default/uploads/images/crop/649bdea9ca204518430931.png")</f>
        <v>0</v>
      </c>
      <c r="I1270">
        <f>HYPERLINK("https://athena.uww.org/p/93182")</f>
        <v>0</v>
      </c>
    </row>
    <row r="1271" spans="1:9">
      <c r="A1271">
        <v>85168</v>
      </c>
      <c r="B1271" t="s">
        <v>1278</v>
      </c>
      <c r="C1271" t="s">
        <v>1339</v>
      </c>
      <c r="D1271" t="s">
        <v>1434</v>
      </c>
      <c r="E1271" t="s">
        <v>1439</v>
      </c>
      <c r="F1271" t="s">
        <v>2638</v>
      </c>
      <c r="G1271" t="b">
        <v>1</v>
      </c>
      <c r="H1271">
        <f>HYPERLINK("https://athena.uww.org/media/cache/person_default/uploads/images/crop/62bda72156a00913600238.png")</f>
        <v>0</v>
      </c>
      <c r="I1271">
        <f>HYPERLINK("https://athena.uww.org/p/85168")</f>
        <v>0</v>
      </c>
    </row>
    <row r="1272" spans="1:9">
      <c r="A1272">
        <v>102246</v>
      </c>
      <c r="B1272" t="s">
        <v>1279</v>
      </c>
      <c r="C1272" t="s">
        <v>1339</v>
      </c>
      <c r="D1272" t="s">
        <v>1434</v>
      </c>
      <c r="E1272" t="s">
        <v>1439</v>
      </c>
      <c r="F1272" t="s">
        <v>2639</v>
      </c>
      <c r="G1272" t="b">
        <v>1</v>
      </c>
      <c r="H1272">
        <f>HYPERLINK("https://athena.uww.org/media/cache/person_default/uploads/images/crop/6684f414b0fc0519110778.png")</f>
        <v>0</v>
      </c>
      <c r="I1272">
        <f>HYPERLINK("https://athena.uww.org/p/102246")</f>
        <v>0</v>
      </c>
    </row>
    <row r="1273" spans="1:9">
      <c r="A1273">
        <v>5334</v>
      </c>
      <c r="B1273" t="s">
        <v>1280</v>
      </c>
      <c r="C1273" t="s">
        <v>1339</v>
      </c>
      <c r="D1273" t="s">
        <v>1434</v>
      </c>
      <c r="E1273" t="s">
        <v>1439</v>
      </c>
      <c r="F1273" t="s">
        <v>2640</v>
      </c>
      <c r="G1273" t="b">
        <v>1</v>
      </c>
      <c r="H1273">
        <f>HYPERLINK("https://athena.uww.org/media/cache/person_default/uploads/images/referee-5334.jpg")</f>
        <v>0</v>
      </c>
      <c r="I1273">
        <f>HYPERLINK("https://athena.uww.org/p/5334")</f>
        <v>0</v>
      </c>
    </row>
    <row r="1274" spans="1:9">
      <c r="A1274">
        <v>85167</v>
      </c>
      <c r="B1274" t="s">
        <v>1281</v>
      </c>
      <c r="C1274" t="s">
        <v>1339</v>
      </c>
      <c r="D1274" t="s">
        <v>1434</v>
      </c>
      <c r="E1274" t="s">
        <v>1439</v>
      </c>
      <c r="F1274" t="s">
        <v>2641</v>
      </c>
      <c r="G1274" t="b">
        <v>1</v>
      </c>
      <c r="H1274">
        <f>HYPERLINK("https://athena.uww.org/media/cache/person_default/uploads/images/crop/62bda82b346d9259054463.png")</f>
        <v>0</v>
      </c>
      <c r="I1274">
        <f>HYPERLINK("https://athena.uww.org/p/85167")</f>
        <v>0</v>
      </c>
    </row>
    <row r="1275" spans="1:9">
      <c r="A1275">
        <v>46413</v>
      </c>
      <c r="B1275" t="s">
        <v>1282</v>
      </c>
      <c r="C1275" t="s">
        <v>1339</v>
      </c>
      <c r="D1275" t="s">
        <v>1434</v>
      </c>
      <c r="E1275" t="s">
        <v>1439</v>
      </c>
      <c r="F1275" t="s">
        <v>2642</v>
      </c>
      <c r="G1275" t="b">
        <v>1</v>
      </c>
      <c r="H1275">
        <f>HYPERLINK("https://athena.uww.org/media/cache/person_default/uploads/images/crop/62964bf4a0f30359278681.png")</f>
        <v>0</v>
      </c>
      <c r="I1275">
        <f>HYPERLINK("https://athena.uww.org/p/46413")</f>
        <v>0</v>
      </c>
    </row>
    <row r="1276" spans="1:9">
      <c r="A1276">
        <v>109248</v>
      </c>
      <c r="B1276" t="s">
        <v>1283</v>
      </c>
      <c r="C1276" t="s">
        <v>1339</v>
      </c>
      <c r="D1276" t="s">
        <v>1434</v>
      </c>
      <c r="E1276" t="s">
        <v>1442</v>
      </c>
      <c r="F1276" t="s">
        <v>2643</v>
      </c>
      <c r="G1276" t="b">
        <v>1</v>
      </c>
      <c r="H1276">
        <f>HYPERLINK("https://athena.uww.org/media/cache/person_default/uploads/images/crop/685baa1b7abd0352007279.png")</f>
        <v>0</v>
      </c>
      <c r="I1276">
        <f>HYPERLINK("https://athena.uww.org/p/109248")</f>
        <v>0</v>
      </c>
    </row>
    <row r="1277" spans="1:9">
      <c r="A1277">
        <v>93174</v>
      </c>
      <c r="B1277" t="s">
        <v>1284</v>
      </c>
      <c r="C1277" t="s">
        <v>1339</v>
      </c>
      <c r="D1277" t="s">
        <v>1434</v>
      </c>
      <c r="E1277" t="s">
        <v>1442</v>
      </c>
      <c r="F1277" t="s">
        <v>2644</v>
      </c>
      <c r="G1277" t="b">
        <v>1</v>
      </c>
      <c r="H1277">
        <f>HYPERLINK("https://athena.uww.org/media/cache/person_default/uploads/images/crop/649be2f31c0ca499358123.png")</f>
        <v>0</v>
      </c>
      <c r="I1277">
        <f>HYPERLINK("https://athena.uww.org/p/93174")</f>
        <v>0</v>
      </c>
    </row>
    <row r="1278" spans="1:9">
      <c r="A1278">
        <v>74817</v>
      </c>
      <c r="B1278" t="s">
        <v>1285</v>
      </c>
      <c r="C1278" t="s">
        <v>1339</v>
      </c>
      <c r="D1278" t="s">
        <v>1434</v>
      </c>
      <c r="E1278" t="s">
        <v>1442</v>
      </c>
      <c r="F1278" t="s">
        <v>2645</v>
      </c>
      <c r="G1278" t="b">
        <v>1</v>
      </c>
      <c r="H1278">
        <f>HYPERLINK("https://athena.uww.org/media/cache/person_default/uploads/images/crop/608a644901883524116542.png")</f>
        <v>0</v>
      </c>
      <c r="I1278">
        <f>HYPERLINK("https://athena.uww.org/p/74817")</f>
        <v>0</v>
      </c>
    </row>
    <row r="1279" spans="1:9">
      <c r="A1279">
        <v>93177</v>
      </c>
      <c r="B1279" t="s">
        <v>1286</v>
      </c>
      <c r="C1279" t="s">
        <v>1339</v>
      </c>
      <c r="D1279" t="s">
        <v>1434</v>
      </c>
      <c r="E1279" t="s">
        <v>1442</v>
      </c>
      <c r="F1279" t="s">
        <v>2646</v>
      </c>
      <c r="G1279" t="b">
        <v>1</v>
      </c>
      <c r="H1279">
        <f>HYPERLINK("https://athena.uww.org/media/cache/person_default/uploads/images/crop/649be21e3d12e657726605.png")</f>
        <v>0</v>
      </c>
      <c r="I1279">
        <f>HYPERLINK("https://athena.uww.org/p/93177")</f>
        <v>0</v>
      </c>
    </row>
    <row r="1280" spans="1:9">
      <c r="A1280">
        <v>101671</v>
      </c>
      <c r="B1280" t="s">
        <v>1287</v>
      </c>
      <c r="C1280" t="s">
        <v>1339</v>
      </c>
      <c r="D1280" t="s">
        <v>1434</v>
      </c>
      <c r="E1280" t="s">
        <v>1442</v>
      </c>
      <c r="F1280" t="s">
        <v>2647</v>
      </c>
      <c r="G1280" t="b">
        <v>1</v>
      </c>
      <c r="H1280">
        <f>HYPERLINK("https://athena.uww.org/media/cache/person_default/uploads/images/crop/666bef57a6b9d788181617.png")</f>
        <v>0</v>
      </c>
      <c r="I1280">
        <f>HYPERLINK("https://athena.uww.org/p/101671")</f>
        <v>0</v>
      </c>
    </row>
    <row r="1281" spans="1:9">
      <c r="A1281">
        <v>2982</v>
      </c>
      <c r="B1281" t="s">
        <v>1288</v>
      </c>
      <c r="C1281" t="s">
        <v>1339</v>
      </c>
      <c r="D1281" t="s">
        <v>1434</v>
      </c>
      <c r="E1281" t="s">
        <v>1442</v>
      </c>
      <c r="F1281" t="s">
        <v>2648</v>
      </c>
      <c r="G1281" t="b">
        <v>0</v>
      </c>
      <c r="H1281">
        <f>HYPERLINK("https://athena.uww.org/media/cache/person_default/uploads/images/569c9566b18e5.jpg")</f>
        <v>0</v>
      </c>
      <c r="I1281">
        <f>HYPERLINK("https://athena.uww.org/p/2982")</f>
        <v>0</v>
      </c>
    </row>
    <row r="1282" spans="1:9">
      <c r="A1282">
        <v>85229</v>
      </c>
      <c r="B1282" t="s">
        <v>1289</v>
      </c>
      <c r="C1282" t="s">
        <v>1339</v>
      </c>
      <c r="D1282" t="s">
        <v>1434</v>
      </c>
      <c r="E1282" t="s">
        <v>1442</v>
      </c>
      <c r="F1282" t="s">
        <v>2649</v>
      </c>
      <c r="G1282" t="b">
        <v>1</v>
      </c>
      <c r="H1282">
        <f>HYPERLINK("https://athena.uww.org/media/cache/person_default/uploads/images/crop/62c59cf7bb744596095063.png")</f>
        <v>0</v>
      </c>
      <c r="I1282">
        <f>HYPERLINK("https://athena.uww.org/p/85229")</f>
        <v>0</v>
      </c>
    </row>
    <row r="1283" spans="1:9">
      <c r="A1283">
        <v>5579</v>
      </c>
      <c r="B1283" t="s">
        <v>1290</v>
      </c>
      <c r="C1283" t="s">
        <v>1339</v>
      </c>
      <c r="D1283" t="s">
        <v>1434</v>
      </c>
      <c r="E1283" t="s">
        <v>1442</v>
      </c>
      <c r="F1283" t="s">
        <v>2650</v>
      </c>
      <c r="G1283" t="b">
        <v>0</v>
      </c>
      <c r="H1283">
        <f>HYPERLINK("https://athena.uww.org/media/cache/person_default/uploads/images/referee-5579.jpg")</f>
        <v>0</v>
      </c>
      <c r="I1283">
        <f>HYPERLINK("https://athena.uww.org/p/5579")</f>
        <v>0</v>
      </c>
    </row>
    <row r="1284" spans="1:9">
      <c r="A1284">
        <v>5063</v>
      </c>
      <c r="B1284" t="s">
        <v>1291</v>
      </c>
      <c r="C1284" t="s">
        <v>1339</v>
      </c>
      <c r="D1284" t="s">
        <v>1434</v>
      </c>
      <c r="E1284" t="s">
        <v>1442</v>
      </c>
      <c r="F1284" t="s">
        <v>2333</v>
      </c>
      <c r="G1284" t="b">
        <v>1</v>
      </c>
      <c r="H1284">
        <f>HYPERLINK("https://athena.uww.org/media/cache/person_default/uploads/images/referee-5063.jpg")</f>
        <v>0</v>
      </c>
      <c r="I1284">
        <f>HYPERLINK("https://athena.uww.org/p/5063")</f>
        <v>0</v>
      </c>
    </row>
    <row r="1285" spans="1:9">
      <c r="A1285">
        <v>3596</v>
      </c>
      <c r="B1285" t="s">
        <v>1292</v>
      </c>
      <c r="C1285" t="s">
        <v>1339</v>
      </c>
      <c r="D1285" t="s">
        <v>1434</v>
      </c>
      <c r="E1285" t="s">
        <v>1442</v>
      </c>
      <c r="F1285" t="s">
        <v>2651</v>
      </c>
      <c r="G1285" t="b">
        <v>1</v>
      </c>
      <c r="H1285">
        <f>HYPERLINK("https://athena.uww.org/media/cache/person_default/uploads/images/referee-3596.jpg")</f>
        <v>0</v>
      </c>
      <c r="I1285">
        <f>HYPERLINK("https://athena.uww.org/p/3596")</f>
        <v>0</v>
      </c>
    </row>
    <row r="1286" spans="1:9">
      <c r="A1286">
        <v>109170</v>
      </c>
      <c r="B1286" t="s">
        <v>1293</v>
      </c>
      <c r="C1286" t="s">
        <v>1339</v>
      </c>
      <c r="D1286" t="s">
        <v>1434</v>
      </c>
      <c r="E1286" t="s">
        <v>1442</v>
      </c>
      <c r="F1286" t="s">
        <v>2652</v>
      </c>
      <c r="G1286" t="b">
        <v>1</v>
      </c>
      <c r="H1286">
        <f>HYPERLINK("https://athena.uww.org/media/cache/person_default/uploads/images/crop/6852521edb9ee069927727.png")</f>
        <v>0</v>
      </c>
      <c r="I1286">
        <f>HYPERLINK("https://athena.uww.org/p/109170")</f>
        <v>0</v>
      </c>
    </row>
    <row r="1287" spans="1:9">
      <c r="A1287">
        <v>101668</v>
      </c>
      <c r="B1287" t="s">
        <v>1294</v>
      </c>
      <c r="C1287" t="s">
        <v>1339</v>
      </c>
      <c r="D1287" t="s">
        <v>1434</v>
      </c>
      <c r="E1287" t="s">
        <v>1442</v>
      </c>
      <c r="F1287" t="s">
        <v>2653</v>
      </c>
      <c r="G1287" t="b">
        <v>1</v>
      </c>
      <c r="H1287">
        <f>HYPERLINK("https://athena.uww.org/media/cache/person_default/uploads/images/crop/66694c1600358090281927.png")</f>
        <v>0</v>
      </c>
      <c r="I1287">
        <f>HYPERLINK("https://athena.uww.org/p/101668")</f>
        <v>0</v>
      </c>
    </row>
    <row r="1288" spans="1:9">
      <c r="A1288">
        <v>93180</v>
      </c>
      <c r="B1288" t="s">
        <v>1295</v>
      </c>
      <c r="C1288" t="s">
        <v>1340</v>
      </c>
      <c r="D1288" t="s">
        <v>1434</v>
      </c>
      <c r="E1288" t="s">
        <v>1442</v>
      </c>
      <c r="F1288" t="s">
        <v>2313</v>
      </c>
      <c r="G1288" t="b">
        <v>1</v>
      </c>
      <c r="H1288">
        <f>HYPERLINK("https://athena.uww.org/media/cache/person_default/uploads/images/crop/649be1327e15c589176656.png")</f>
        <v>0</v>
      </c>
      <c r="I1288">
        <f>HYPERLINK("https://athena.uww.org/p/93180")</f>
        <v>0</v>
      </c>
    </row>
    <row r="1289" spans="1:9">
      <c r="A1289">
        <v>66513</v>
      </c>
      <c r="B1289" t="s">
        <v>1296</v>
      </c>
      <c r="C1289" t="s">
        <v>1339</v>
      </c>
      <c r="D1289" t="s">
        <v>1434</v>
      </c>
      <c r="E1289" t="s">
        <v>1442</v>
      </c>
      <c r="F1289" t="s">
        <v>2629</v>
      </c>
      <c r="G1289" t="b">
        <v>0</v>
      </c>
      <c r="H1289">
        <f>HYPERLINK("https://athena.uww.org/media/cache/person_default/uploads/images/crop/5cdd10b61d1f2165832001.png")</f>
        <v>0</v>
      </c>
      <c r="I1289">
        <f>HYPERLINK("https://athena.uww.org/p/66513")</f>
        <v>0</v>
      </c>
    </row>
    <row r="1290" spans="1:9">
      <c r="A1290">
        <v>59458</v>
      </c>
      <c r="B1290" t="s">
        <v>1297</v>
      </c>
      <c r="C1290" t="s">
        <v>1339</v>
      </c>
      <c r="D1290" t="s">
        <v>1434</v>
      </c>
      <c r="E1290" t="s">
        <v>1442</v>
      </c>
      <c r="F1290" t="s">
        <v>2654</v>
      </c>
      <c r="G1290" t="b">
        <v>1</v>
      </c>
      <c r="H1290">
        <f>HYPERLINK("https://athena.uww.org/media/cache/person_default/uploads/images/crop/5b740a98a6df4.png")</f>
        <v>0</v>
      </c>
      <c r="I1290">
        <f>HYPERLINK("https://athena.uww.org/p/59458")</f>
        <v>0</v>
      </c>
    </row>
    <row r="1291" spans="1:9">
      <c r="A1291">
        <v>109171</v>
      </c>
      <c r="B1291" t="s">
        <v>1298</v>
      </c>
      <c r="C1291" t="s">
        <v>1340</v>
      </c>
      <c r="D1291" t="s">
        <v>1434</v>
      </c>
      <c r="E1291" t="s">
        <v>1442</v>
      </c>
      <c r="F1291" t="s">
        <v>2655</v>
      </c>
      <c r="G1291" t="b">
        <v>1</v>
      </c>
      <c r="H1291">
        <f>HYPERLINK("https://athena.uww.org/media/cache/person_default/uploads/images/crop/6858f126572aa344058613.png")</f>
        <v>0</v>
      </c>
      <c r="I1291">
        <f>HYPERLINK("https://athena.uww.org/p/109171")</f>
        <v>0</v>
      </c>
    </row>
    <row r="1292" spans="1:9">
      <c r="A1292">
        <v>4801</v>
      </c>
      <c r="B1292" t="s">
        <v>1299</v>
      </c>
      <c r="C1292" t="s">
        <v>1339</v>
      </c>
      <c r="D1292" t="s">
        <v>1434</v>
      </c>
      <c r="E1292" t="s">
        <v>1442</v>
      </c>
      <c r="F1292" t="s">
        <v>2656</v>
      </c>
      <c r="G1292" t="b">
        <v>1</v>
      </c>
      <c r="H1292">
        <f>HYPERLINK("https://athena.uww.org/media/cache/person_default/uploads/images/referee-4801.jpg")</f>
        <v>0</v>
      </c>
      <c r="I1292">
        <f>HYPERLINK("https://athena.uww.org/p/4801")</f>
        <v>0</v>
      </c>
    </row>
    <row r="1293" spans="1:9">
      <c r="A1293">
        <v>59529</v>
      </c>
      <c r="B1293" t="s">
        <v>1300</v>
      </c>
      <c r="C1293" t="s">
        <v>1339</v>
      </c>
      <c r="D1293" t="s">
        <v>1434</v>
      </c>
      <c r="E1293" t="s">
        <v>1442</v>
      </c>
      <c r="F1293" t="s">
        <v>2657</v>
      </c>
      <c r="G1293" t="b">
        <v>1</v>
      </c>
      <c r="H1293">
        <f>HYPERLINK("https://athena.uww.org/media/cache/person_default/uploads/images/crop/5b740b95ba619.png")</f>
        <v>0</v>
      </c>
      <c r="I1293">
        <f>HYPERLINK("https://athena.uww.org/p/59529")</f>
        <v>0</v>
      </c>
    </row>
    <row r="1294" spans="1:9">
      <c r="A1294">
        <v>109028</v>
      </c>
      <c r="B1294" t="s">
        <v>1301</v>
      </c>
      <c r="C1294" t="s">
        <v>1339</v>
      </c>
      <c r="D1294" t="s">
        <v>1434</v>
      </c>
      <c r="E1294" t="s">
        <v>1442</v>
      </c>
      <c r="F1294" t="s">
        <v>2658</v>
      </c>
      <c r="G1294" t="b">
        <v>1</v>
      </c>
      <c r="H1294">
        <f>HYPERLINK("https://athena.uww.org/media/cache/person_default/uploads/images/crop/684fb616ad971640675844.png")</f>
        <v>0</v>
      </c>
      <c r="I1294">
        <f>HYPERLINK("https://athena.uww.org/p/109028")</f>
        <v>0</v>
      </c>
    </row>
    <row r="1295" spans="1:9">
      <c r="A1295">
        <v>109027</v>
      </c>
      <c r="B1295" t="s">
        <v>1302</v>
      </c>
      <c r="C1295" t="s">
        <v>1339</v>
      </c>
      <c r="D1295" t="s">
        <v>1434</v>
      </c>
      <c r="E1295" t="s">
        <v>1442</v>
      </c>
      <c r="F1295" t="s">
        <v>2659</v>
      </c>
      <c r="G1295" t="b">
        <v>1</v>
      </c>
      <c r="H1295">
        <f>HYPERLINK("https://athena.uww.org/media/cache/person_default/uploads/images/crop/684fb67174e35305881381.png")</f>
        <v>0</v>
      </c>
      <c r="I1295">
        <f>HYPERLINK("https://athena.uww.org/p/109027")</f>
        <v>0</v>
      </c>
    </row>
    <row r="1296" spans="1:9">
      <c r="A1296">
        <v>85171</v>
      </c>
      <c r="B1296" t="s">
        <v>1303</v>
      </c>
      <c r="C1296" t="s">
        <v>1339</v>
      </c>
      <c r="D1296" t="s">
        <v>1434</v>
      </c>
      <c r="E1296" t="s">
        <v>1442</v>
      </c>
      <c r="F1296" t="s">
        <v>2660</v>
      </c>
      <c r="G1296" t="b">
        <v>1</v>
      </c>
      <c r="H1296">
        <f>HYPERLINK("https://athena.uww.org/media/cache/person_default/uploads/images/crop/62bda75d4f8d0723470159.png")</f>
        <v>0</v>
      </c>
      <c r="I1296">
        <f>HYPERLINK("https://athena.uww.org/p/85171")</f>
        <v>0</v>
      </c>
    </row>
    <row r="1297" spans="1:9">
      <c r="A1297">
        <v>93311</v>
      </c>
      <c r="B1297" t="s">
        <v>1304</v>
      </c>
      <c r="C1297" t="s">
        <v>1339</v>
      </c>
      <c r="D1297" t="s">
        <v>1434</v>
      </c>
      <c r="E1297" t="s">
        <v>1442</v>
      </c>
      <c r="F1297" t="s">
        <v>2661</v>
      </c>
      <c r="G1297" t="b">
        <v>1</v>
      </c>
      <c r="H1297">
        <f>HYPERLINK("https://athena.uww.org/media/cache/person_default/uploads/images/crop/64a27115b3972725057137.png")</f>
        <v>0</v>
      </c>
      <c r="I1297">
        <f>HYPERLINK("https://athena.uww.org/p/93311")</f>
        <v>0</v>
      </c>
    </row>
    <row r="1298" spans="1:9">
      <c r="A1298">
        <v>93248</v>
      </c>
      <c r="B1298" t="s">
        <v>1305</v>
      </c>
      <c r="C1298" t="s">
        <v>1340</v>
      </c>
      <c r="D1298" t="s">
        <v>1434</v>
      </c>
      <c r="E1298" t="s">
        <v>1442</v>
      </c>
      <c r="F1298" t="s">
        <v>2662</v>
      </c>
      <c r="G1298" t="b">
        <v>1</v>
      </c>
      <c r="H1298">
        <f>HYPERLINK("https://athena.uww.org/media/cache/person_default/uploads/images/649e456b94706232111590.jpg")</f>
        <v>0</v>
      </c>
      <c r="I1298">
        <f>HYPERLINK("https://athena.uww.org/p/93248")</f>
        <v>0</v>
      </c>
    </row>
    <row r="1299" spans="1:9">
      <c r="A1299">
        <v>85209</v>
      </c>
      <c r="B1299" t="s">
        <v>1306</v>
      </c>
      <c r="C1299" t="s">
        <v>1339</v>
      </c>
      <c r="D1299" t="s">
        <v>1434</v>
      </c>
      <c r="E1299" t="s">
        <v>1442</v>
      </c>
      <c r="F1299" t="s">
        <v>2663</v>
      </c>
      <c r="G1299" t="b">
        <v>1</v>
      </c>
      <c r="H1299">
        <f>HYPERLINK("https://athena.uww.org/media/cache/person_default/uploads/images/crop/62c59d61520fc573089460.png")</f>
        <v>0</v>
      </c>
      <c r="I1299">
        <f>HYPERLINK("https://athena.uww.org/p/85209")</f>
        <v>0</v>
      </c>
    </row>
    <row r="1300" spans="1:9">
      <c r="A1300">
        <v>101669</v>
      </c>
      <c r="B1300" t="s">
        <v>1307</v>
      </c>
      <c r="C1300" t="s">
        <v>1339</v>
      </c>
      <c r="D1300" t="s">
        <v>1434</v>
      </c>
      <c r="E1300" t="s">
        <v>1442</v>
      </c>
      <c r="F1300" t="s">
        <v>2664</v>
      </c>
      <c r="G1300" t="b">
        <v>1</v>
      </c>
      <c r="H1300">
        <f>HYPERLINK("https://athena.uww.org/media/cache/person_default/uploads/images/crop/66694c74b4821486900122.png")</f>
        <v>0</v>
      </c>
      <c r="I1300">
        <f>HYPERLINK("https://athena.uww.org/p/101669")</f>
        <v>0</v>
      </c>
    </row>
    <row r="1301" spans="1:9">
      <c r="A1301">
        <v>85172</v>
      </c>
      <c r="B1301" t="s">
        <v>1308</v>
      </c>
      <c r="C1301" t="s">
        <v>1339</v>
      </c>
      <c r="D1301" t="s">
        <v>1434</v>
      </c>
      <c r="E1301" t="s">
        <v>1442</v>
      </c>
      <c r="F1301" t="s">
        <v>2665</v>
      </c>
      <c r="G1301" t="b">
        <v>1</v>
      </c>
      <c r="H1301">
        <f>HYPERLINK("https://athena.uww.org/media/cache/person_default/uploads/images/crop/62bda6c480df2781907094.png")</f>
        <v>0</v>
      </c>
      <c r="I1301">
        <f>HYPERLINK("https://athena.uww.org/p/85172")</f>
        <v>0</v>
      </c>
    </row>
    <row r="1302" spans="1:9">
      <c r="A1302">
        <v>109161</v>
      </c>
      <c r="B1302" t="s">
        <v>1309</v>
      </c>
      <c r="C1302" t="s">
        <v>1339</v>
      </c>
      <c r="D1302" t="s">
        <v>1434</v>
      </c>
      <c r="E1302" t="s">
        <v>1442</v>
      </c>
      <c r="F1302" t="s">
        <v>2666</v>
      </c>
      <c r="G1302" t="b">
        <v>1</v>
      </c>
      <c r="H1302">
        <f>HYPERLINK("https://athena.uww.org/media/cache/person_default/uploads/images/crop/6852539e12e40723703269.png")</f>
        <v>0</v>
      </c>
      <c r="I1302">
        <f>HYPERLINK("https://athena.uww.org/p/109161")</f>
        <v>0</v>
      </c>
    </row>
    <row r="1303" spans="1:9">
      <c r="A1303">
        <v>109179</v>
      </c>
      <c r="B1303" t="s">
        <v>1310</v>
      </c>
      <c r="C1303" t="s">
        <v>1339</v>
      </c>
      <c r="D1303" t="s">
        <v>1434</v>
      </c>
      <c r="E1303" t="s">
        <v>1442</v>
      </c>
      <c r="F1303" t="s">
        <v>2667</v>
      </c>
      <c r="G1303" t="b">
        <v>1</v>
      </c>
      <c r="H1303">
        <f>HYPERLINK("https://athena.uww.org/media/cache/person_default/uploads/images/crop/6852536b20f1e929774132.png")</f>
        <v>0</v>
      </c>
      <c r="I1303">
        <f>HYPERLINK("https://athena.uww.org/p/109179")</f>
        <v>0</v>
      </c>
    </row>
    <row r="1304" spans="1:9">
      <c r="A1304">
        <v>109026</v>
      </c>
      <c r="B1304" t="s">
        <v>1311</v>
      </c>
      <c r="C1304" t="s">
        <v>1339</v>
      </c>
      <c r="D1304" t="s">
        <v>1434</v>
      </c>
      <c r="E1304" t="s">
        <v>1442</v>
      </c>
      <c r="F1304" t="s">
        <v>2668</v>
      </c>
      <c r="G1304" t="b">
        <v>1</v>
      </c>
      <c r="H1304">
        <f>HYPERLINK("https://athena.uww.org/media/cache/person_default/uploads/images/crop/684fb6974dd66068456946.png")</f>
        <v>0</v>
      </c>
      <c r="I1304">
        <f>HYPERLINK("https://athena.uww.org/p/109026")</f>
        <v>0</v>
      </c>
    </row>
    <row r="1305" spans="1:9">
      <c r="A1305">
        <v>109029</v>
      </c>
      <c r="B1305" t="s">
        <v>1312</v>
      </c>
      <c r="C1305" t="s">
        <v>1339</v>
      </c>
      <c r="D1305" t="s">
        <v>1434</v>
      </c>
      <c r="E1305" t="s">
        <v>1442</v>
      </c>
      <c r="F1305" t="s">
        <v>2669</v>
      </c>
      <c r="G1305" t="b">
        <v>1</v>
      </c>
      <c r="H1305">
        <f>HYPERLINK("https://athena.uww.org/media/cache/person_default/uploads/images/crop/684fb6d5dee3e694402795.png")</f>
        <v>0</v>
      </c>
      <c r="I1305">
        <f>HYPERLINK("https://athena.uww.org/p/109029")</f>
        <v>0</v>
      </c>
    </row>
    <row r="1306" spans="1:9">
      <c r="A1306">
        <v>109399</v>
      </c>
      <c r="B1306" t="s">
        <v>1313</v>
      </c>
      <c r="C1306" t="s">
        <v>1339</v>
      </c>
      <c r="D1306" t="s">
        <v>1434</v>
      </c>
      <c r="E1306" t="s">
        <v>1442</v>
      </c>
      <c r="F1306" t="s">
        <v>2670</v>
      </c>
      <c r="G1306" t="b">
        <v>1</v>
      </c>
      <c r="H1306">
        <f>HYPERLINK("https://athena.uww.org/media/cache/person_default/uploads/images/crop/686226812e4dd561778082.png")</f>
        <v>0</v>
      </c>
      <c r="I1306">
        <f>HYPERLINK("https://athena.uww.org/p/109399")</f>
        <v>0</v>
      </c>
    </row>
    <row r="1307" spans="1:9">
      <c r="A1307">
        <v>93183</v>
      </c>
      <c r="B1307" t="s">
        <v>1314</v>
      </c>
      <c r="C1307" t="s">
        <v>1339</v>
      </c>
      <c r="D1307" t="s">
        <v>1434</v>
      </c>
      <c r="E1307" t="s">
        <v>1442</v>
      </c>
      <c r="F1307" t="s">
        <v>2671</v>
      </c>
      <c r="G1307" t="b">
        <v>1</v>
      </c>
      <c r="H1307">
        <f>HYPERLINK("https://athena.uww.org/media/cache/person_default/uploads/images/crop/649bdd01240e0856805662.png")</f>
        <v>0</v>
      </c>
      <c r="I1307">
        <f>HYPERLINK("https://athena.uww.org/p/93183")</f>
        <v>0</v>
      </c>
    </row>
    <row r="1308" spans="1:9">
      <c r="A1308">
        <v>101874</v>
      </c>
      <c r="B1308" t="s">
        <v>1315</v>
      </c>
      <c r="C1308" t="s">
        <v>1339</v>
      </c>
      <c r="D1308" t="s">
        <v>1434</v>
      </c>
      <c r="E1308" t="s">
        <v>1442</v>
      </c>
      <c r="F1308" t="s">
        <v>2672</v>
      </c>
      <c r="G1308" t="b">
        <v>0</v>
      </c>
      <c r="H1308">
        <f>HYPERLINK("https://athena.uww.org/media/cache/person_default/uploads/images/crop/667d4ab150b49374409417.png")</f>
        <v>0</v>
      </c>
      <c r="I1308">
        <f>HYPERLINK("https://athena.uww.org/p/101874")</f>
        <v>0</v>
      </c>
    </row>
    <row r="1309" spans="1:9">
      <c r="A1309">
        <v>109169</v>
      </c>
      <c r="B1309" t="s">
        <v>1316</v>
      </c>
      <c r="C1309" t="s">
        <v>1339</v>
      </c>
      <c r="D1309" t="s">
        <v>1434</v>
      </c>
      <c r="E1309" t="s">
        <v>1442</v>
      </c>
      <c r="F1309" t="s">
        <v>2673</v>
      </c>
      <c r="G1309" t="b">
        <v>1</v>
      </c>
      <c r="H1309">
        <f>HYPERLINK("https://athena.uww.org/media/cache/person_default/uploads/images/crop/6852525277f8d089375773.png")</f>
        <v>0</v>
      </c>
      <c r="I1309">
        <f>HYPERLINK("https://athena.uww.org/p/109169")</f>
        <v>0</v>
      </c>
    </row>
    <row r="1310" spans="1:9">
      <c r="A1310">
        <v>5155</v>
      </c>
      <c r="B1310" t="s">
        <v>1317</v>
      </c>
      <c r="C1310" t="s">
        <v>1339</v>
      </c>
      <c r="D1310" t="s">
        <v>1435</v>
      </c>
      <c r="E1310" t="s">
        <v>1440</v>
      </c>
      <c r="F1310" t="s">
        <v>1817</v>
      </c>
      <c r="G1310" t="b">
        <v>1</v>
      </c>
      <c r="H1310">
        <f>HYPERLINK("https://athena.uww.org/media/cache/person_default/uploads/images/crop/687a2507d6aad901976900.png")</f>
        <v>0</v>
      </c>
      <c r="I1310">
        <f>HYPERLINK("https://athena.uww.org/p/5155")</f>
        <v>0</v>
      </c>
    </row>
    <row r="1311" spans="1:9">
      <c r="A1311">
        <v>33660</v>
      </c>
      <c r="B1311" t="s">
        <v>1318</v>
      </c>
      <c r="C1311" t="s">
        <v>1339</v>
      </c>
      <c r="D1311" t="s">
        <v>1435</v>
      </c>
      <c r="E1311" t="s">
        <v>1441</v>
      </c>
      <c r="F1311" t="s">
        <v>2674</v>
      </c>
      <c r="G1311" t="b">
        <v>1</v>
      </c>
      <c r="H1311">
        <f>HYPERLINK("https://athena.uww.org/media/cache/person_default/uploads/images/crop/633458bfba9a9254343017.png")</f>
        <v>0</v>
      </c>
      <c r="I1311">
        <f>HYPERLINK("https://athena.uww.org/p/33660")</f>
        <v>0</v>
      </c>
    </row>
    <row r="1312" spans="1:9">
      <c r="A1312">
        <v>3724</v>
      </c>
      <c r="B1312" t="s">
        <v>1319</v>
      </c>
      <c r="C1312" t="s">
        <v>1339</v>
      </c>
      <c r="D1312" t="s">
        <v>1435</v>
      </c>
      <c r="E1312" t="s">
        <v>1441</v>
      </c>
      <c r="F1312" t="s">
        <v>2675</v>
      </c>
      <c r="G1312" t="b">
        <v>1</v>
      </c>
      <c r="H1312">
        <f>HYPERLINK("https://athena.uww.org/media/cache/person_default/uploads/images/crop/63cba49aa3996392075990.png")</f>
        <v>0</v>
      </c>
      <c r="I1312">
        <f>HYPERLINK("https://athena.uww.org/p/3724")</f>
        <v>0</v>
      </c>
    </row>
    <row r="1313" spans="1:9">
      <c r="A1313">
        <v>45</v>
      </c>
      <c r="B1313" t="s">
        <v>1320</v>
      </c>
      <c r="C1313" t="s">
        <v>1339</v>
      </c>
      <c r="D1313" t="s">
        <v>1435</v>
      </c>
      <c r="E1313" t="s">
        <v>1441</v>
      </c>
      <c r="F1313" t="s">
        <v>2676</v>
      </c>
      <c r="G1313" t="b">
        <v>1</v>
      </c>
      <c r="H1313">
        <f>HYPERLINK("https://athena.uww.org/media/cache/person_default/uploads/images/crop/62bdaa3f3be64640152514.png")</f>
        <v>0</v>
      </c>
      <c r="I1313">
        <f>HYPERLINK("https://athena.uww.org/p/45")</f>
        <v>0</v>
      </c>
    </row>
    <row r="1314" spans="1:9">
      <c r="A1314">
        <v>101199</v>
      </c>
      <c r="B1314" t="s">
        <v>1321</v>
      </c>
      <c r="C1314" t="s">
        <v>1339</v>
      </c>
      <c r="D1314" t="s">
        <v>1435</v>
      </c>
      <c r="E1314" t="s">
        <v>1439</v>
      </c>
      <c r="F1314" t="s">
        <v>2677</v>
      </c>
      <c r="G1314" t="b">
        <v>1</v>
      </c>
      <c r="H1314">
        <f>HYPERLINK("https://athena.uww.org/media/cache/person_default/uploads/images/crop/66600f0cbdb03801202194.png")</f>
        <v>0</v>
      </c>
      <c r="I1314">
        <f>HYPERLINK("https://athena.uww.org/p/101199")</f>
        <v>0</v>
      </c>
    </row>
    <row r="1315" spans="1:9">
      <c r="A1315">
        <v>5119</v>
      </c>
      <c r="B1315" t="s">
        <v>1322</v>
      </c>
      <c r="C1315" t="s">
        <v>1339</v>
      </c>
      <c r="D1315" t="s">
        <v>1435</v>
      </c>
      <c r="E1315" t="s">
        <v>1439</v>
      </c>
      <c r="F1315" t="s">
        <v>2678</v>
      </c>
      <c r="G1315" t="b">
        <v>1</v>
      </c>
      <c r="H1315">
        <f>HYPERLINK("https://athena.uww.org/media/cache/person_default/uploads/images/crop/5b32842e5ddc2.png")</f>
        <v>0</v>
      </c>
      <c r="I1315">
        <f>HYPERLINK("https://athena.uww.org/p/5119")</f>
        <v>0</v>
      </c>
    </row>
    <row r="1316" spans="1:9">
      <c r="A1316">
        <v>60331</v>
      </c>
      <c r="B1316" t="s">
        <v>1323</v>
      </c>
      <c r="C1316" t="s">
        <v>1339</v>
      </c>
      <c r="D1316" t="s">
        <v>1435</v>
      </c>
      <c r="E1316" t="s">
        <v>1442</v>
      </c>
      <c r="F1316" t="s">
        <v>2679</v>
      </c>
      <c r="G1316" t="b">
        <v>1</v>
      </c>
      <c r="H1316">
        <f>HYPERLINK("https://athena.uww.org/media/cache/person_default/uploads/images/crop/6482d27572c2d062963618.png")</f>
        <v>0</v>
      </c>
      <c r="I1316">
        <f>HYPERLINK("https://athena.uww.org/p/60331")</f>
        <v>0</v>
      </c>
    </row>
    <row r="1317" spans="1:9">
      <c r="A1317">
        <v>4472</v>
      </c>
      <c r="B1317" t="s">
        <v>1324</v>
      </c>
      <c r="C1317" t="s">
        <v>1339</v>
      </c>
      <c r="D1317" t="s">
        <v>1435</v>
      </c>
      <c r="E1317" t="s">
        <v>1442</v>
      </c>
      <c r="F1317" t="s">
        <v>2680</v>
      </c>
      <c r="G1317" t="b">
        <v>1</v>
      </c>
      <c r="H1317">
        <f>HYPERLINK("https://athena.uww.org/media/cache/person_default/uploads/images/627233dad4012973616564.jpg")</f>
        <v>0</v>
      </c>
      <c r="I1317">
        <f>HYPERLINK("https://athena.uww.org/p/4472")</f>
        <v>0</v>
      </c>
    </row>
    <row r="1318" spans="1:9">
      <c r="A1318">
        <v>3797</v>
      </c>
      <c r="B1318" t="s">
        <v>1325</v>
      </c>
      <c r="C1318" t="s">
        <v>1339</v>
      </c>
      <c r="D1318" t="s">
        <v>1435</v>
      </c>
      <c r="E1318" t="s">
        <v>1442</v>
      </c>
      <c r="F1318" t="s">
        <v>2681</v>
      </c>
      <c r="G1318" t="b">
        <v>0</v>
      </c>
      <c r="H1318">
        <f>HYPERLINK("https://athena.uww.org/media/cache/person_default/uploads/images/627236d8cf74c249304117.png")</f>
        <v>0</v>
      </c>
      <c r="I1318">
        <f>HYPERLINK("https://athena.uww.org/p/3797")</f>
        <v>0</v>
      </c>
    </row>
    <row r="1319" spans="1:9">
      <c r="A1319">
        <v>108899</v>
      </c>
      <c r="B1319" t="s">
        <v>1326</v>
      </c>
      <c r="C1319" t="s">
        <v>1340</v>
      </c>
      <c r="D1319" t="s">
        <v>1435</v>
      </c>
      <c r="E1319" t="s">
        <v>1442</v>
      </c>
      <c r="F1319" t="s">
        <v>2595</v>
      </c>
      <c r="G1319" t="b">
        <v>1</v>
      </c>
      <c r="H1319">
        <f>HYPERLINK("https://athena.uww.org/media/cache/person_default/uploads/images/68484116ed5dc003424675.jpg")</f>
        <v>0</v>
      </c>
      <c r="I1319">
        <f>HYPERLINK("https://athena.uww.org/p/108899")</f>
        <v>0</v>
      </c>
    </row>
    <row r="1320" spans="1:9">
      <c r="A1320">
        <v>101774</v>
      </c>
      <c r="B1320" t="s">
        <v>1327</v>
      </c>
      <c r="C1320" t="s">
        <v>1339</v>
      </c>
      <c r="D1320" t="s">
        <v>1435</v>
      </c>
      <c r="E1320" t="s">
        <v>1442</v>
      </c>
      <c r="F1320" t="s">
        <v>1690</v>
      </c>
      <c r="G1320" t="b">
        <v>0</v>
      </c>
      <c r="H1320">
        <f>HYPERLINK("https://athena.uww.org/media/cache/person_default/uploads/images/crop/666acc922c024156351963.png")</f>
        <v>0</v>
      </c>
      <c r="I1320">
        <f>HYPERLINK("https://athena.uww.org/p/101774")</f>
        <v>0</v>
      </c>
    </row>
    <row r="1321" spans="1:9">
      <c r="A1321">
        <v>5536</v>
      </c>
      <c r="B1321" t="s">
        <v>1328</v>
      </c>
      <c r="C1321" t="s">
        <v>1339</v>
      </c>
      <c r="D1321" t="s">
        <v>1435</v>
      </c>
      <c r="E1321" t="s">
        <v>1442</v>
      </c>
      <c r="F1321" t="s">
        <v>2682</v>
      </c>
      <c r="G1321" t="b">
        <v>0</v>
      </c>
      <c r="H1321">
        <f>HYPERLINK("https://athena.uww.org/media/cache/person_default/uploads/images/crop/627262490c716018841825.png")</f>
        <v>0</v>
      </c>
      <c r="I1321">
        <f>HYPERLINK("https://athena.uww.org/p/5536")</f>
        <v>0</v>
      </c>
    </row>
    <row r="1322" spans="1:9">
      <c r="A1322">
        <v>10463</v>
      </c>
      <c r="B1322" t="s">
        <v>1329</v>
      </c>
      <c r="C1322" t="s">
        <v>1339</v>
      </c>
      <c r="D1322" t="s">
        <v>1435</v>
      </c>
      <c r="E1322" t="s">
        <v>1442</v>
      </c>
      <c r="F1322" t="s">
        <v>2683</v>
      </c>
      <c r="G1322" t="b">
        <v>0</v>
      </c>
      <c r="H1322">
        <f>HYPERLINK("https://athena.uww.org/media/cache/person_default/uploads/images/crop/6826ca219028c929490287.png")</f>
        <v>0</v>
      </c>
      <c r="I1322">
        <f>HYPERLINK("https://athena.uww.org/p/10463")</f>
        <v>0</v>
      </c>
    </row>
    <row r="1323" spans="1:9">
      <c r="A1323">
        <v>4551</v>
      </c>
      <c r="B1323" t="s">
        <v>1330</v>
      </c>
      <c r="C1323" t="s">
        <v>1340</v>
      </c>
      <c r="D1323" t="s">
        <v>1436</v>
      </c>
      <c r="E1323" t="s">
        <v>1441</v>
      </c>
      <c r="F1323" t="s">
        <v>2547</v>
      </c>
      <c r="G1323" t="b">
        <v>1</v>
      </c>
      <c r="H1323">
        <f>HYPERLINK("https://athena.uww.org/media/cache/person_default/uploads/images/55effdcf149e9.jpg")</f>
        <v>0</v>
      </c>
      <c r="I1323">
        <f>HYPERLINK("https://athena.uww.org/p/4551")</f>
        <v>0</v>
      </c>
    </row>
    <row r="1324" spans="1:9">
      <c r="A1324">
        <v>84475</v>
      </c>
      <c r="B1324" t="s">
        <v>1331</v>
      </c>
      <c r="C1324" t="s">
        <v>1340</v>
      </c>
      <c r="D1324" t="s">
        <v>1436</v>
      </c>
      <c r="E1324" t="s">
        <v>1439</v>
      </c>
      <c r="F1324" t="s">
        <v>2684</v>
      </c>
      <c r="G1324" t="b">
        <v>1</v>
      </c>
      <c r="H1324">
        <f>HYPERLINK("https://athena.uww.org/media/cache/person_default/uploads/images/crop/62a6d9bd11a64836147658.png")</f>
        <v>0</v>
      </c>
      <c r="I1324">
        <f>HYPERLINK("https://athena.uww.org/p/84475")</f>
        <v>0</v>
      </c>
    </row>
    <row r="1325" spans="1:9">
      <c r="A1325">
        <v>4727</v>
      </c>
      <c r="B1325" t="s">
        <v>1332</v>
      </c>
      <c r="C1325" t="s">
        <v>1339</v>
      </c>
      <c r="D1325" t="s">
        <v>1436</v>
      </c>
      <c r="E1325" t="s">
        <v>1442</v>
      </c>
      <c r="F1325" t="s">
        <v>2685</v>
      </c>
      <c r="G1325" t="b">
        <v>1</v>
      </c>
      <c r="H1325">
        <f>HYPERLINK("https://athena.uww.org/media/cache/person_default/uploads/images/referee-4727.jpg")</f>
        <v>0</v>
      </c>
      <c r="I1325">
        <f>HYPERLINK("https://athena.uww.org/p/4727")</f>
        <v>0</v>
      </c>
    </row>
    <row r="1326" spans="1:9">
      <c r="A1326">
        <v>100751</v>
      </c>
      <c r="B1326" t="s">
        <v>1333</v>
      </c>
      <c r="C1326" t="s">
        <v>1339</v>
      </c>
      <c r="D1326" t="s">
        <v>1436</v>
      </c>
      <c r="E1326" t="s">
        <v>1442</v>
      </c>
      <c r="F1326" t="s">
        <v>2686</v>
      </c>
      <c r="G1326" t="b">
        <v>1</v>
      </c>
      <c r="H1326">
        <f>HYPERLINK("https://athena.uww.org/media/cache/person_default/uploads/images/crop/664ed4a90488b634302394.png")</f>
        <v>0</v>
      </c>
      <c r="I1326">
        <f>HYPERLINK("https://athena.uww.org/p/100751")</f>
        <v>0</v>
      </c>
    </row>
    <row r="1327" spans="1:9">
      <c r="A1327">
        <v>15273</v>
      </c>
      <c r="B1327" t="s">
        <v>1334</v>
      </c>
      <c r="C1327" t="s">
        <v>1340</v>
      </c>
      <c r="D1327" t="s">
        <v>1436</v>
      </c>
      <c r="E1327" t="s">
        <v>1442</v>
      </c>
      <c r="F1327" t="s">
        <v>2687</v>
      </c>
      <c r="G1327" t="b">
        <v>1</v>
      </c>
      <c r="H1327">
        <f>HYPERLINK("https://athena.uww.org/media/cache/person_default/uploads/images/crop/664d8e066a292636930454.png")</f>
        <v>0</v>
      </c>
      <c r="I1327">
        <f>HYPERLINK("https://athena.uww.org/p/15273")</f>
        <v>0</v>
      </c>
    </row>
    <row r="1328" spans="1:9">
      <c r="A1328">
        <v>12595</v>
      </c>
      <c r="B1328" t="s">
        <v>1335</v>
      </c>
      <c r="C1328" t="s">
        <v>1339</v>
      </c>
      <c r="D1328" t="s">
        <v>1436</v>
      </c>
      <c r="E1328" t="s">
        <v>1442</v>
      </c>
      <c r="F1328" t="s">
        <v>2688</v>
      </c>
      <c r="G1328" t="b">
        <v>1</v>
      </c>
      <c r="H1328">
        <f>HYPERLINK("https://athena.uww.org/media/cache/person_default/uploads/images/681b08836d802723390065.jpg")</f>
        <v>0</v>
      </c>
      <c r="I1328">
        <f>HYPERLINK("https://athena.uww.org/p/12595")</f>
        <v>0</v>
      </c>
    </row>
    <row r="1329" spans="1:9">
      <c r="A1329">
        <v>4412</v>
      </c>
      <c r="B1329" t="s">
        <v>1336</v>
      </c>
      <c r="C1329" t="s">
        <v>1339</v>
      </c>
      <c r="D1329" t="s">
        <v>1436</v>
      </c>
      <c r="E1329" t="s">
        <v>1442</v>
      </c>
      <c r="F1329" t="s">
        <v>1656</v>
      </c>
      <c r="G1329" t="b">
        <v>1</v>
      </c>
      <c r="H1329">
        <f>HYPERLINK("https://athena.uww.org/media/cache/person_default/uploads/images/5673b3c7e41c5.jpg")</f>
        <v>0</v>
      </c>
      <c r="I1329">
        <f>HYPERLINK("https://athena.uww.org/p/4412")</f>
        <v>0</v>
      </c>
    </row>
    <row r="1330" spans="1:9">
      <c r="A1330">
        <v>32706</v>
      </c>
      <c r="B1330" t="s">
        <v>1337</v>
      </c>
      <c r="C1330" t="s">
        <v>1339</v>
      </c>
      <c r="D1330" t="s">
        <v>1436</v>
      </c>
      <c r="E1330" t="s">
        <v>1442</v>
      </c>
      <c r="F1330" t="s">
        <v>2689</v>
      </c>
      <c r="G1330" t="b">
        <v>1</v>
      </c>
      <c r="H1330">
        <f>HYPERLINK("https://athena.uww.org/media/cache/person_default/uploads/images/5677c073efe68.jpg")</f>
        <v>0</v>
      </c>
      <c r="I1330">
        <f>HYPERLINK("https://athena.uww.org/p/32706")</f>
        <v>0</v>
      </c>
    </row>
    <row r="1331" spans="1:9">
      <c r="A1331">
        <v>3726</v>
      </c>
      <c r="B1331" t="s">
        <v>1338</v>
      </c>
      <c r="C1331" t="s">
        <v>1339</v>
      </c>
      <c r="D1331" t="s">
        <v>1436</v>
      </c>
      <c r="E1331" t="s">
        <v>1442</v>
      </c>
      <c r="F1331" t="s">
        <v>2690</v>
      </c>
      <c r="G1331" t="b">
        <v>1</v>
      </c>
      <c r="H1331">
        <f>HYPERLINK("https://athena.uww.org/media/cache/person_default/uploads/images/5672f2672d335.jpg")</f>
        <v>0</v>
      </c>
      <c r="I1331">
        <f>HYPERLINK("https://athena.uww.org/p/3726")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UWW referees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2025-12-20T11:02:19Z</dcterms:created>
  <dcterms:modified xsi:type="dcterms:W3CDTF">2025-12-20T11:02:19Z</dcterms:modified>
</cp:coreProperties>
</file>